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95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</sheets>
  <definedNames>
    <definedName name="\R">'A'!$B$41:$B$58</definedName>
    <definedName name="_xlnm.Print_Area" localSheetId="7">'H'!$A$1:$G$58</definedName>
  </definedNames>
  <calcPr fullCalcOnLoad="1"/>
</workbook>
</file>

<file path=xl/sharedStrings.xml><?xml version="1.0" encoding="utf-8"?>
<sst xmlns="http://schemas.openxmlformats.org/spreadsheetml/2006/main" count="748" uniqueCount="199">
  <si>
    <t>FINAL COMPLEX MODEL FOR VOC, NOx AND TOXICS</t>
  </si>
  <si>
    <t>Emitter class weightings:</t>
  </si>
  <si>
    <t>Extrapolation:</t>
  </si>
  <si>
    <t>Conversion of T to E values and Vice-Versa:</t>
  </si>
  <si>
    <t>Baseline Values by emitter class:</t>
  </si>
  <si>
    <t>Emission performances by emitter class</t>
  </si>
  <si>
    <t>Baseline fuel</t>
  </si>
  <si>
    <t>Target Fuel</t>
  </si>
  <si>
    <t xml:space="preserve">               Phase I</t>
  </si>
  <si>
    <t xml:space="preserve">               Phase II</t>
  </si>
  <si>
    <t>Pollutant</t>
  </si>
  <si>
    <t>Parameter</t>
  </si>
  <si>
    <t>Range end</t>
  </si>
  <si>
    <t>Extrapolate from</t>
  </si>
  <si>
    <t>Input:</t>
  </si>
  <si>
    <t>Output:</t>
  </si>
  <si>
    <t>Normal</t>
  </si>
  <si>
    <t>High</t>
  </si>
  <si>
    <t xml:space="preserve">        Normals</t>
  </si>
  <si>
    <t xml:space="preserve">          Highs</t>
  </si>
  <si>
    <t>MTBE (wt% oxygen)</t>
  </si>
  <si>
    <t xml:space="preserve">Area Class = </t>
  </si>
  <si>
    <t>C</t>
  </si>
  <si>
    <t>Normals</t>
  </si>
  <si>
    <t>Highs</t>
  </si>
  <si>
    <t>Exhaust VOC</t>
  </si>
  <si>
    <t>mg/mi</t>
  </si>
  <si>
    <t>Percent change</t>
  </si>
  <si>
    <t>ETBE (wt% oxygen)</t>
  </si>
  <si>
    <t>Phase =</t>
  </si>
  <si>
    <t>VOC+Toxics</t>
  </si>
  <si>
    <t>VOC</t>
  </si>
  <si>
    <t>E200</t>
  </si>
  <si>
    <t>Low</t>
  </si>
  <si>
    <t>E200 =</t>
  </si>
  <si>
    <t>Nonexhaust VOC</t>
  </si>
  <si>
    <t>Ethanol (wt% oxygen)</t>
  </si>
  <si>
    <t>Season =</t>
  </si>
  <si>
    <t>Summer</t>
  </si>
  <si>
    <t>NOx</t>
  </si>
  <si>
    <t>E300 =</t>
  </si>
  <si>
    <t>Total VOC</t>
  </si>
  <si>
    <t>TAME (wt% oxygen)</t>
  </si>
  <si>
    <t>E300</t>
  </si>
  <si>
    <t>SULFUR (ppm)</t>
  </si>
  <si>
    <t xml:space="preserve">       Current settings:</t>
  </si>
  <si>
    <t>T50 =</t>
  </si>
  <si>
    <t>Exhaust benzene</t>
  </si>
  <si>
    <t>RVP  (psi)</t>
  </si>
  <si>
    <t>Aromatics</t>
  </si>
  <si>
    <t>T90 =</t>
  </si>
  <si>
    <t>Nonexhaust benzene</t>
  </si>
  <si>
    <t>E200 (%)</t>
  </si>
  <si>
    <t>See Warnings and Caveats</t>
  </si>
  <si>
    <t>Total oxygen content :</t>
  </si>
  <si>
    <t>Acetaldehyde</t>
  </si>
  <si>
    <t>E300 (%)</t>
  </si>
  <si>
    <t xml:space="preserve">  below, starting in cell A:A35</t>
  </si>
  <si>
    <t>Baseline</t>
  </si>
  <si>
    <t>Target</t>
  </si>
  <si>
    <t>Sulfur</t>
  </si>
  <si>
    <t>Formaldehyde</t>
  </si>
  <si>
    <t>AROMATICS (vol%)</t>
  </si>
  <si>
    <t>OXYGEN</t>
  </si>
  <si>
    <t>Butadiene</t>
  </si>
  <si>
    <t>OLEFINS  (vol%)</t>
  </si>
  <si>
    <t>POM</t>
  </si>
  <si>
    <t>BENZENE (vol%)</t>
  </si>
  <si>
    <t>Total exhaust toxics</t>
  </si>
  <si>
    <t>Baseline fuel:</t>
  </si>
  <si>
    <t>CAAB</t>
  </si>
  <si>
    <t>Winter</t>
  </si>
  <si>
    <t>Flat-line extension of target fuel parameters</t>
  </si>
  <si>
    <t>Olefins</t>
  </si>
  <si>
    <t>Total toxics</t>
  </si>
  <si>
    <t xml:space="preserve">   beyond the valid range :</t>
  </si>
  <si>
    <t>OXYGEN (wt%)</t>
  </si>
  <si>
    <t xml:space="preserve">   Partial derivatives</t>
  </si>
  <si>
    <t>Total</t>
  </si>
  <si>
    <t>Edge</t>
  </si>
  <si>
    <t>Total extrapolated</t>
  </si>
  <si>
    <t>Extrapolation</t>
  </si>
  <si>
    <t>Differential</t>
  </si>
  <si>
    <t>Partial derivatives</t>
  </si>
  <si>
    <t>Performance</t>
  </si>
  <si>
    <t>Factor</t>
  </si>
  <si>
    <t>VOC emitter class weightings:</t>
  </si>
  <si>
    <t>Phase I</t>
  </si>
  <si>
    <t>Phase II</t>
  </si>
  <si>
    <t>Current</t>
  </si>
  <si>
    <t>Fraction of in-use fleet</t>
  </si>
  <si>
    <t>Fraction of emissions inventory</t>
  </si>
  <si>
    <t>Baseline emissions (mg/mi):</t>
  </si>
  <si>
    <t>Current ID value =</t>
  </si>
  <si>
    <t>Class</t>
  </si>
  <si>
    <t>B</t>
  </si>
  <si>
    <t>Extrapolation ID :</t>
  </si>
  <si>
    <t>Emitter class performances:</t>
  </si>
  <si>
    <t>Phase</t>
  </si>
  <si>
    <t>Season</t>
  </si>
  <si>
    <t>ID value</t>
  </si>
  <si>
    <t>Warnings and Caveats:</t>
  </si>
  <si>
    <t>Evap VOC</t>
  </si>
  <si>
    <t>If the current scenario and/or target fuel parameter values require warnings or</t>
  </si>
  <si>
    <t>caveats, such warnings or caveats will appear below :</t>
  </si>
  <si>
    <t>Evap benzene</t>
  </si>
  <si>
    <t>Total benzene</t>
  </si>
  <si>
    <t>Exhaust toxics</t>
  </si>
  <si>
    <t>Valid Range Limits for the Complex Model :</t>
  </si>
  <si>
    <t>Reformulated gasoline</t>
  </si>
  <si>
    <t>Conventional gasoline</t>
  </si>
  <si>
    <t>Low end</t>
  </si>
  <si>
    <t>High end</t>
  </si>
  <si>
    <t>Oxygen</t>
  </si>
  <si>
    <t>RVP</t>
  </si>
  <si>
    <t>Benzene</t>
  </si>
  <si>
    <t>MTBE</t>
  </si>
  <si>
    <t>ETBE</t>
  </si>
  <si>
    <t>Ethanol</t>
  </si>
  <si>
    <t>TAME</t>
  </si>
  <si>
    <t>Normal coefficient</t>
  </si>
  <si>
    <t>Base fuel</t>
  </si>
  <si>
    <t>Target fuel</t>
  </si>
  <si>
    <t>High coefficient</t>
  </si>
  <si>
    <t>VOC EVALUATION</t>
  </si>
  <si>
    <t>=</t>
  </si>
  <si>
    <t>BASE</t>
  </si>
  <si>
    <t>TARGET</t>
  </si>
  <si>
    <t>SULFUR</t>
  </si>
  <si>
    <t>AROMATIC</t>
  </si>
  <si>
    <t>OLEFINS</t>
  </si>
  <si>
    <t>E200SQR</t>
  </si>
  <si>
    <t>E300SQR</t>
  </si>
  <si>
    <t>FUEL BENZENE (vol%)</t>
  </si>
  <si>
    <t>AROE300</t>
  </si>
  <si>
    <t>% change</t>
  </si>
  <si>
    <t>normal emitters only</t>
  </si>
  <si>
    <t>Sum</t>
  </si>
  <si>
    <t>overall grams/mile</t>
  </si>
  <si>
    <t>exp(sum)</t>
  </si>
  <si>
    <t>high emitters only</t>
  </si>
  <si>
    <t>Weighting</t>
  </si>
  <si>
    <t>% change/emitter class</t>
  </si>
  <si>
    <t>Total % change</t>
  </si>
  <si>
    <t>Partial derivatives:</t>
  </si>
  <si>
    <t>Normal emitters</t>
  </si>
  <si>
    <t>High emitters</t>
  </si>
  <si>
    <t>NOx EVALUATION</t>
  </si>
  <si>
    <t>SULSQR</t>
  </si>
  <si>
    <t>AROSQR</t>
  </si>
  <si>
    <t>OLESQR</t>
  </si>
  <si>
    <t>exp(Sum)</t>
  </si>
  <si>
    <t>% change per emitter class</t>
  </si>
  <si>
    <t>EXHAUST BENZENE EVALUATION</t>
  </si>
  <si>
    <t>RVP (psi)</t>
  </si>
  <si>
    <t>BENZENE</t>
  </si>
  <si>
    <t>AROMATIC (vol%)</t>
  </si>
  <si>
    <t>OLEFINS (vol%)</t>
  </si>
  <si>
    <t>Overall mg/mi</t>
  </si>
  <si>
    <t>EXHAUST 1,3 BUTADIENE EVALUATION</t>
  </si>
  <si>
    <t>EXHAUST FORMALDEHYDE EVALUATION</t>
  </si>
  <si>
    <t>overall milligrams/mile</t>
  </si>
  <si>
    <t>Oxygenate-specific terms</t>
  </si>
  <si>
    <t>EXHAUST ACETALDEHYDE EVALUATION</t>
  </si>
  <si>
    <t>Complex Model for Non-Exhaust Emissions</t>
  </si>
  <si>
    <t>Note that the oxygen content of the fuel applies only to MTBE</t>
  </si>
  <si>
    <t>All emission values are given in grams per mile</t>
  </si>
  <si>
    <t xml:space="preserve">        Baseline fuel</t>
  </si>
  <si>
    <t xml:space="preserve">        Formula fuel</t>
  </si>
  <si>
    <t xml:space="preserve">       Target fuel</t>
  </si>
  <si>
    <t xml:space="preserve">   Class B</t>
  </si>
  <si>
    <t xml:space="preserve">  Class C</t>
  </si>
  <si>
    <t>Source</t>
  </si>
  <si>
    <t>Emission</t>
  </si>
  <si>
    <t>Term</t>
  </si>
  <si>
    <t>Coefficients</t>
  </si>
  <si>
    <t>Oxygen (wt %)</t>
  </si>
  <si>
    <t>Benzene (vol %)</t>
  </si>
  <si>
    <t xml:space="preserve">Hot soak </t>
  </si>
  <si>
    <t xml:space="preserve">VOC </t>
  </si>
  <si>
    <t>2nd order</t>
  </si>
  <si>
    <t>1st order</t>
  </si>
  <si>
    <t>constant</t>
  </si>
  <si>
    <t xml:space="preserve">Diurnal </t>
  </si>
  <si>
    <t>Emissions (g/mi):</t>
  </si>
  <si>
    <t>Hot soak VOC</t>
  </si>
  <si>
    <t xml:space="preserve">Running </t>
  </si>
  <si>
    <t>Diurnal VOC</t>
  </si>
  <si>
    <t>Run Loss VOC</t>
  </si>
  <si>
    <t>Refueling VOC</t>
  </si>
  <si>
    <t xml:space="preserve">Refueling </t>
  </si>
  <si>
    <t>Sum:</t>
  </si>
  <si>
    <t>Hot Soak Benzene</t>
  </si>
  <si>
    <t xml:space="preserve">benzene </t>
  </si>
  <si>
    <t>oxygen</t>
  </si>
  <si>
    <t>Diurnal Benzene</t>
  </si>
  <si>
    <t>Run Loss Benzene</t>
  </si>
  <si>
    <t>Refueling Benzene</t>
  </si>
  <si>
    <t xml:space="preserve">Sum 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</si>
</sst>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_)"/>
    <numFmt numFmtId="166" formatCode="0.00_)"/>
    <numFmt numFmtId="167" formatCode="0.0_)"/>
    <numFmt numFmtId="168" formatCode="General_);[Red]\-General_)"/>
    <numFmt numFmtId="169" formatCode="0.00000_)"/>
    <numFmt numFmtId="170" formatCode="0.000000_)"/>
  </numFmts>
  <fonts count="4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color indexed="13"/>
      <name val="Helv"/>
      <family val="0"/>
    </font>
    <font>
      <sz val="12"/>
      <color indexed="13"/>
      <name val="Helv"/>
      <family val="0"/>
    </font>
    <font>
      <b/>
      <sz val="12"/>
      <name val="Helv"/>
      <family val="0"/>
    </font>
    <font>
      <b/>
      <u val="single"/>
      <sz val="12"/>
      <name val="Helv"/>
      <family val="0"/>
    </font>
    <font>
      <sz val="12"/>
      <color indexed="10"/>
      <name val="Helv"/>
      <family val="0"/>
    </font>
    <font>
      <b/>
      <sz val="12"/>
      <color indexed="10"/>
      <name val="Helv"/>
      <family val="0"/>
    </font>
    <font>
      <sz val="12"/>
      <color indexed="11"/>
      <name val="Helv"/>
      <family val="0"/>
    </font>
    <font>
      <b/>
      <u val="double"/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fill"/>
      <protection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166" fontId="0" fillId="0" borderId="13" xfId="0" applyNumberFormat="1" applyBorder="1" applyAlignment="1" applyProtection="1">
      <alignment/>
      <protection/>
    </xf>
    <xf numFmtId="0" fontId="8" fillId="0" borderId="0" xfId="0" applyFont="1" applyAlignment="1">
      <alignment/>
    </xf>
    <xf numFmtId="167" fontId="7" fillId="0" borderId="0" xfId="0" applyNumberFormat="1" applyFont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166" fontId="5" fillId="0" borderId="0" xfId="0" applyNumberFormat="1" applyFont="1" applyAlignment="1" applyProtection="1">
      <alignment/>
      <protection/>
    </xf>
    <xf numFmtId="166" fontId="5" fillId="0" borderId="16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64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0" fillId="0" borderId="13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Y83"/>
  <sheetViews>
    <sheetView showGridLines="0" tabSelected="1" zoomScalePageLayoutView="0" workbookViewId="0" topLeftCell="A1">
      <selection activeCell="G6" sqref="G6"/>
    </sheetView>
  </sheetViews>
  <sheetFormatPr defaultColWidth="9.77734375" defaultRowHeight="15.75"/>
  <cols>
    <col min="1" max="1" width="17.77734375" style="0" customWidth="1"/>
    <col min="2" max="2" width="10.77734375" style="0" customWidth="1"/>
    <col min="3" max="3" width="7.77734375" style="0" customWidth="1"/>
    <col min="4" max="4" width="9.77734375" style="0" customWidth="1"/>
    <col min="5" max="5" width="5.77734375" style="0" customWidth="1"/>
    <col min="6" max="6" width="10.77734375" style="0" customWidth="1"/>
    <col min="7" max="7" width="6.77734375" style="0" customWidth="1"/>
    <col min="8" max="9" width="9.77734375" style="0" customWidth="1"/>
    <col min="10" max="10" width="14.77734375" style="0" customWidth="1"/>
    <col min="11" max="24" width="9.77734375" style="0" customWidth="1"/>
    <col min="25" max="25" width="14.77734375" style="0" customWidth="1"/>
    <col min="26" max="26" width="11.77734375" style="0" customWidth="1"/>
    <col min="27" max="27" width="16.77734375" style="0" customWidth="1"/>
    <col min="28" max="28" width="11.77734375" style="0" customWidth="1"/>
    <col min="29" max="29" width="7.77734375" style="0" customWidth="1"/>
    <col min="30" max="47" width="9.77734375" style="0" customWidth="1"/>
    <col min="48" max="48" width="8.77734375" style="0" customWidth="1"/>
    <col min="49" max="49" width="12.77734375" style="0" customWidth="1"/>
    <col min="50" max="50" width="8.77734375" style="0" customWidth="1"/>
    <col min="51" max="51" width="12.77734375" style="0" customWidth="1"/>
  </cols>
  <sheetData>
    <row r="1" spans="1:46" ht="15.75">
      <c r="A1" s="13" t="s">
        <v>0</v>
      </c>
      <c r="B1" s="14"/>
      <c r="C1" s="14"/>
      <c r="D1" s="14"/>
      <c r="E1" s="15"/>
      <c r="J1" s="16" t="s">
        <v>1</v>
      </c>
      <c r="S1" s="1"/>
      <c r="T1" s="16" t="s">
        <v>2</v>
      </c>
      <c r="AF1" s="16" t="s">
        <v>3</v>
      </c>
      <c r="AK1" t="s">
        <v>4</v>
      </c>
      <c r="AT1" s="17" t="s">
        <v>5</v>
      </c>
    </row>
    <row r="3" spans="2:50" ht="15.75">
      <c r="B3" t="s">
        <v>6</v>
      </c>
      <c r="D3" t="s">
        <v>7</v>
      </c>
      <c r="K3" t="s">
        <v>8</v>
      </c>
      <c r="M3" s="18" t="s">
        <v>9</v>
      </c>
      <c r="T3" s="19" t="s">
        <v>10</v>
      </c>
      <c r="U3" s="19" t="s">
        <v>11</v>
      </c>
      <c r="V3" s="19" t="s">
        <v>12</v>
      </c>
      <c r="W3" s="19" t="s">
        <v>13</v>
      </c>
      <c r="X3" s="19"/>
      <c r="AG3" t="s">
        <v>14</v>
      </c>
      <c r="AH3" t="s">
        <v>15</v>
      </c>
      <c r="AM3" t="s">
        <v>16</v>
      </c>
      <c r="AN3" t="s">
        <v>17</v>
      </c>
      <c r="AV3" s="16" t="s">
        <v>18</v>
      </c>
      <c r="AX3" s="20" t="s">
        <v>19</v>
      </c>
    </row>
    <row r="4" spans="1:51" ht="15.75">
      <c r="A4" t="s">
        <v>20</v>
      </c>
      <c r="B4" s="2">
        <v>0</v>
      </c>
      <c r="D4" s="21">
        <v>0</v>
      </c>
      <c r="F4" t="s">
        <v>21</v>
      </c>
      <c r="G4" s="3" t="s">
        <v>95</v>
      </c>
      <c r="K4" s="22" t="s">
        <v>23</v>
      </c>
      <c r="L4" s="22" t="s">
        <v>24</v>
      </c>
      <c r="M4" s="23" t="s">
        <v>23</v>
      </c>
      <c r="N4" s="22" t="s">
        <v>24</v>
      </c>
      <c r="AK4" t="s">
        <v>25</v>
      </c>
      <c r="AM4">
        <f>$AR$23*$B17/$AR$22</f>
        <v>481.70813397129194</v>
      </c>
      <c r="AN4">
        <f>$AS$23*$B17/$AS$22</f>
        <v>3074.951219512195</v>
      </c>
      <c r="AV4" s="19" t="s">
        <v>26</v>
      </c>
      <c r="AW4" s="19" t="s">
        <v>27</v>
      </c>
      <c r="AX4" s="24" t="s">
        <v>26</v>
      </c>
      <c r="AY4" s="19" t="s">
        <v>27</v>
      </c>
    </row>
    <row r="5" spans="1:51" ht="15.75">
      <c r="A5" t="s">
        <v>28</v>
      </c>
      <c r="B5" s="2">
        <v>0</v>
      </c>
      <c r="D5" s="21">
        <v>0</v>
      </c>
      <c r="F5" t="s">
        <v>29</v>
      </c>
      <c r="G5" s="3">
        <v>2</v>
      </c>
      <c r="J5" t="s">
        <v>30</v>
      </c>
      <c r="K5">
        <v>0.52</v>
      </c>
      <c r="L5">
        <v>0.48</v>
      </c>
      <c r="M5" s="18">
        <v>0.444</v>
      </c>
      <c r="N5">
        <v>0.556</v>
      </c>
      <c r="T5" t="s">
        <v>31</v>
      </c>
      <c r="U5" t="s">
        <v>32</v>
      </c>
      <c r="V5" t="s">
        <v>33</v>
      </c>
      <c r="W5">
        <v>33</v>
      </c>
      <c r="AF5" t="s">
        <v>34</v>
      </c>
      <c r="AG5" s="3">
        <v>50</v>
      </c>
      <c r="AH5" s="4">
        <f>147.91/0.49-AG5/0.49</f>
        <v>199.81632653061223</v>
      </c>
      <c r="AK5" t="s">
        <v>35</v>
      </c>
      <c r="AM5">
        <f>B18</f>
        <v>559.31373</v>
      </c>
      <c r="AN5">
        <f>B18</f>
        <v>559.31373</v>
      </c>
      <c r="AT5" t="s">
        <v>25</v>
      </c>
      <c r="AV5" s="5">
        <f>AM4+AM4*AW5/100</f>
        <v>481.70813397129194</v>
      </c>
      <c r="AW5" s="5">
        <f>AB30</f>
        <v>0</v>
      </c>
      <c r="AX5" s="25">
        <f>AN4+AN4*AY5/100</f>
        <v>3074.951219512195</v>
      </c>
      <c r="AY5" s="5">
        <f>AB31</f>
        <v>0</v>
      </c>
    </row>
    <row r="6" spans="1:51" ht="15.75">
      <c r="A6" t="s">
        <v>36</v>
      </c>
      <c r="B6" s="2">
        <v>0</v>
      </c>
      <c r="D6" s="21">
        <v>0</v>
      </c>
      <c r="F6" t="s">
        <v>37</v>
      </c>
      <c r="G6" s="3" t="s">
        <v>38</v>
      </c>
      <c r="J6" t="s">
        <v>39</v>
      </c>
      <c r="K6">
        <v>0.82</v>
      </c>
      <c r="L6">
        <v>0.18</v>
      </c>
      <c r="M6" s="18">
        <v>0.738</v>
      </c>
      <c r="N6">
        <v>0.262</v>
      </c>
      <c r="T6" t="s">
        <v>31</v>
      </c>
      <c r="U6" t="s">
        <v>32</v>
      </c>
      <c r="V6" t="s">
        <v>17</v>
      </c>
      <c r="W6">
        <f>IF(G5=1,65.83,65.52)</f>
        <v>65.52</v>
      </c>
      <c r="AF6" t="s">
        <v>40</v>
      </c>
      <c r="AG6" s="3">
        <v>90</v>
      </c>
      <c r="AH6" s="4">
        <f>155.47/0.22-AG6/0.22</f>
        <v>297.59090909090907</v>
      </c>
      <c r="AK6" s="16" t="s">
        <v>41</v>
      </c>
      <c r="AM6">
        <f>SUM(AM4:AM5)</f>
        <v>1041.0218639712919</v>
      </c>
      <c r="AN6">
        <f>SUM(AN4:AN5)</f>
        <v>3634.264949512195</v>
      </c>
      <c r="AT6" t="s">
        <v>35</v>
      </c>
      <c r="AV6" s="5">
        <f>D18</f>
        <v>559.3137299999994</v>
      </c>
      <c r="AW6" s="5">
        <f>F18</f>
        <v>-1.0163065165735877E-13</v>
      </c>
      <c r="AX6" s="25">
        <f>D18</f>
        <v>559.3137299999994</v>
      </c>
      <c r="AY6" s="5">
        <f>F18</f>
        <v>-1.0163065165735877E-13</v>
      </c>
    </row>
    <row r="7" spans="1:51" ht="15.75">
      <c r="A7" t="s">
        <v>42</v>
      </c>
      <c r="B7" s="2">
        <v>0</v>
      </c>
      <c r="D7" s="21">
        <v>0</v>
      </c>
      <c r="T7" t="s">
        <v>31</v>
      </c>
      <c r="U7" t="s">
        <v>43</v>
      </c>
      <c r="V7" t="s">
        <v>33</v>
      </c>
      <c r="W7">
        <v>72</v>
      </c>
      <c r="AG7" s="3"/>
      <c r="AH7" s="6"/>
      <c r="AT7" s="16" t="s">
        <v>41</v>
      </c>
      <c r="AV7" s="5">
        <f>SUM(AV5:AV6)</f>
        <v>1041.0218639712914</v>
      </c>
      <c r="AW7" s="5">
        <f>(AV7-AM6)/AM6*100</f>
        <v>-4.368278579199991E-14</v>
      </c>
      <c r="AX7" s="25">
        <f>SUM(AX5:AX6)</f>
        <v>3634.2649495121946</v>
      </c>
      <c r="AY7" s="5">
        <f>(AX7-AN6)/AN6*100</f>
        <v>-1.2512773757661838E-14</v>
      </c>
    </row>
    <row r="8" spans="1:51" ht="15.75">
      <c r="A8" t="s">
        <v>44</v>
      </c>
      <c r="B8">
        <f aca="true" t="shared" si="0" ref="B8:B14">IF($G$6="Summer",L18,M18)</f>
        <v>339</v>
      </c>
      <c r="D8" s="21">
        <v>339</v>
      </c>
      <c r="F8" s="26" t="str">
        <f>IF(A40=" ","       WARNING"," ")</f>
        <v> </v>
      </c>
      <c r="K8" t="s">
        <v>45</v>
      </c>
      <c r="T8" t="s">
        <v>31</v>
      </c>
      <c r="U8" t="s">
        <v>43</v>
      </c>
      <c r="V8" t="s">
        <v>17</v>
      </c>
      <c r="W8">
        <f>IF(IF(G5=2,79.75+0.38465*P19,80.32+0.39028*P19)&gt;94,94,IF(G5=2,79.75+0.38465*P19,80.32+0.39028*P19))</f>
        <v>92.0588</v>
      </c>
      <c r="AF8" t="s">
        <v>46</v>
      </c>
      <c r="AG8" s="3">
        <v>200</v>
      </c>
      <c r="AH8" s="6">
        <f>147.91-0.49*AG8</f>
        <v>49.91</v>
      </c>
      <c r="AK8" t="s">
        <v>47</v>
      </c>
      <c r="AM8">
        <f>$AR$23*$B21/$AR$22</f>
        <v>28.43511961722488</v>
      </c>
      <c r="AN8">
        <f>$AS$23*$B21/$AS$22</f>
        <v>181.51365853658538</v>
      </c>
      <c r="AV8" s="5"/>
      <c r="AW8" s="5"/>
      <c r="AX8" s="25"/>
      <c r="AY8" s="5"/>
    </row>
    <row r="9" spans="1:51" ht="15.75">
      <c r="A9" t="s">
        <v>48</v>
      </c>
      <c r="B9">
        <f t="shared" si="0"/>
        <v>8.7</v>
      </c>
      <c r="D9" s="27">
        <v>8.7</v>
      </c>
      <c r="K9" s="22" t="s">
        <v>23</v>
      </c>
      <c r="L9" s="22" t="s">
        <v>24</v>
      </c>
      <c r="T9" t="s">
        <v>31</v>
      </c>
      <c r="U9" t="s">
        <v>49</v>
      </c>
      <c r="V9" t="s">
        <v>33</v>
      </c>
      <c r="W9">
        <v>18</v>
      </c>
      <c r="AF9" t="s">
        <v>50</v>
      </c>
      <c r="AG9" s="3">
        <v>300</v>
      </c>
      <c r="AH9" s="6">
        <f>155.47-0.22*AG9</f>
        <v>89.47</v>
      </c>
      <c r="AK9" t="s">
        <v>51</v>
      </c>
      <c r="AM9">
        <f>B22</f>
        <v>6.241321545815459</v>
      </c>
      <c r="AN9">
        <f>B22</f>
        <v>6.241321545815459</v>
      </c>
      <c r="AT9" t="s">
        <v>47</v>
      </c>
      <c r="AV9" s="5">
        <f>AM8+AM8*AW9/100</f>
        <v>28.43511961722488</v>
      </c>
      <c r="AW9" s="5">
        <f>D!D14</f>
        <v>0</v>
      </c>
      <c r="AX9" s="25">
        <f>AN8+AN8*AY9/100</f>
        <v>181.51365853658538</v>
      </c>
      <c r="AY9" s="5">
        <f>D!D16</f>
        <v>0</v>
      </c>
    </row>
    <row r="10" spans="1:51" ht="15.75">
      <c r="A10" t="s">
        <v>52</v>
      </c>
      <c r="B10">
        <f t="shared" si="0"/>
        <v>41</v>
      </c>
      <c r="C10" s="2"/>
      <c r="D10" s="21">
        <v>41</v>
      </c>
      <c r="F10" t="s">
        <v>53</v>
      </c>
      <c r="J10" t="s">
        <v>30</v>
      </c>
      <c r="K10">
        <f>IF($G$5=1,K5,M5)</f>
        <v>0.444</v>
      </c>
      <c r="L10">
        <f>IF($G$5=1,L5,N5)</f>
        <v>0.556</v>
      </c>
      <c r="O10" s="16" t="s">
        <v>54</v>
      </c>
      <c r="P10" s="1"/>
      <c r="Q10" s="1"/>
      <c r="T10" t="s">
        <v>31</v>
      </c>
      <c r="U10" t="s">
        <v>49</v>
      </c>
      <c r="V10" t="s">
        <v>17</v>
      </c>
      <c r="W10">
        <v>46</v>
      </c>
      <c r="AK10" t="s">
        <v>55</v>
      </c>
      <c r="AM10">
        <f>$AR$23*$B23/$AR$22</f>
        <v>2.3580861244019142</v>
      </c>
      <c r="AN10">
        <f>$AS$23*$B23/$AS$22</f>
        <v>15.052682926829272</v>
      </c>
      <c r="AT10" t="s">
        <v>51</v>
      </c>
      <c r="AV10" s="5">
        <f>D22</f>
        <v>6.2413215458154525</v>
      </c>
      <c r="AW10" s="5">
        <f>F22</f>
        <v>-9.961430271236831E-14</v>
      </c>
      <c r="AX10" s="25">
        <f>D22</f>
        <v>6.2413215458154525</v>
      </c>
      <c r="AY10" s="5">
        <f>F22</f>
        <v>-9.961430271236831E-14</v>
      </c>
    </row>
    <row r="11" spans="1:51" ht="15.75">
      <c r="A11" t="s">
        <v>56</v>
      </c>
      <c r="B11">
        <f t="shared" si="0"/>
        <v>83</v>
      </c>
      <c r="C11" s="2"/>
      <c r="D11" s="21">
        <v>83</v>
      </c>
      <c r="F11" t="s">
        <v>57</v>
      </c>
      <c r="J11" t="s">
        <v>39</v>
      </c>
      <c r="K11">
        <f>IF($G$5=1,K6,M6)</f>
        <v>0.738</v>
      </c>
      <c r="L11">
        <f>IF($G$5=1,L6,N6)</f>
        <v>0.262</v>
      </c>
      <c r="P11" s="10" t="s">
        <v>58</v>
      </c>
      <c r="Q11" s="10" t="s">
        <v>59</v>
      </c>
      <c r="T11" t="s">
        <v>39</v>
      </c>
      <c r="U11" t="s">
        <v>60</v>
      </c>
      <c r="V11" t="s">
        <v>33</v>
      </c>
      <c r="W11">
        <v>10</v>
      </c>
      <c r="AK11" t="s">
        <v>61</v>
      </c>
      <c r="AM11">
        <f>$AR$23*$B24/$AR$22</f>
        <v>5.151674641148325</v>
      </c>
      <c r="AN11">
        <f>$AS$23*$B24/$AS$22</f>
        <v>32.885365853658534</v>
      </c>
      <c r="AT11" t="s">
        <v>55</v>
      </c>
      <c r="AV11" s="5">
        <f>AM10+AM10*AW11/100</f>
        <v>2.3580861244019142</v>
      </c>
      <c r="AW11" s="5">
        <f>G!D14</f>
        <v>0</v>
      </c>
      <c r="AX11" s="25">
        <f>AN10+AN10*AY11/100</f>
        <v>15.052682926829272</v>
      </c>
      <c r="AY11" s="5">
        <f>G!D16</f>
        <v>0</v>
      </c>
    </row>
    <row r="12" spans="1:51" ht="15.75">
      <c r="A12" t="s">
        <v>62</v>
      </c>
      <c r="B12">
        <f t="shared" si="0"/>
        <v>32</v>
      </c>
      <c r="D12" s="21">
        <v>32</v>
      </c>
      <c r="O12" t="s">
        <v>63</v>
      </c>
      <c r="P12">
        <f>SUM(B4:B7)</f>
        <v>0</v>
      </c>
      <c r="Q12">
        <f>SUM(D4:D7)</f>
        <v>0</v>
      </c>
      <c r="T12" t="s">
        <v>39</v>
      </c>
      <c r="U12" t="s">
        <v>60</v>
      </c>
      <c r="V12" t="s">
        <v>17</v>
      </c>
      <c r="W12">
        <v>450</v>
      </c>
      <c r="AK12" t="s">
        <v>64</v>
      </c>
      <c r="AM12">
        <f>$AR$23*$B25/$AR$22</f>
        <v>4.981722488038278</v>
      </c>
      <c r="AN12">
        <f>$AS$23*$B25/$AS$22</f>
        <v>31.800487804878053</v>
      </c>
      <c r="AT12" t="s">
        <v>61</v>
      </c>
      <c r="AV12" s="5">
        <f>AM11+AM11*AW12/100</f>
        <v>5.151674641148325</v>
      </c>
      <c r="AW12" s="5">
        <f>F!D14</f>
        <v>0</v>
      </c>
      <c r="AX12" s="25">
        <f>AN11+AN11*AY12/100</f>
        <v>32.885365853658534</v>
      </c>
      <c r="AY12" s="5">
        <f>F!D16</f>
        <v>0</v>
      </c>
    </row>
    <row r="13" spans="1:51" ht="15.75">
      <c r="A13" t="s">
        <v>65</v>
      </c>
      <c r="B13">
        <f t="shared" si="0"/>
        <v>9.2</v>
      </c>
      <c r="D13" s="21">
        <v>9.2</v>
      </c>
      <c r="Q13" s="1"/>
      <c r="T13" t="s">
        <v>39</v>
      </c>
      <c r="U13" t="s">
        <v>49</v>
      </c>
      <c r="V13" t="s">
        <v>33</v>
      </c>
      <c r="W13">
        <v>18</v>
      </c>
      <c r="AK13" t="s">
        <v>66</v>
      </c>
      <c r="AM13">
        <f>$AR$23*$B26/$AR$22</f>
        <v>1.6161307894736843</v>
      </c>
      <c r="AN13">
        <f>$AS$23*$B26/$AS$22</f>
        <v>10.316461341463414</v>
      </c>
      <c r="AT13" t="s">
        <v>64</v>
      </c>
      <c r="AV13" s="5">
        <f>AM12+AM12*AW13/100</f>
        <v>4.981722488038278</v>
      </c>
      <c r="AW13" s="5">
        <f>E!D14</f>
        <v>0</v>
      </c>
      <c r="AX13" s="25">
        <f>AN12+AN12*AY13/100</f>
        <v>31.800487804878053</v>
      </c>
      <c r="AY13" s="5">
        <f>E!D16</f>
        <v>0</v>
      </c>
    </row>
    <row r="14" spans="1:51" ht="15.75">
      <c r="A14" t="s">
        <v>67</v>
      </c>
      <c r="B14">
        <f t="shared" si="0"/>
        <v>1.53</v>
      </c>
      <c r="D14" s="28">
        <v>1.53</v>
      </c>
      <c r="I14" s="5"/>
      <c r="T14" t="s">
        <v>39</v>
      </c>
      <c r="U14" t="s">
        <v>49</v>
      </c>
      <c r="V14" t="s">
        <v>17</v>
      </c>
      <c r="W14">
        <f>IF(G5=1,36.2,36.8)</f>
        <v>36.800000000000004</v>
      </c>
      <c r="AK14" t="s">
        <v>68</v>
      </c>
      <c r="AM14">
        <f>$AR$23*$B27/$AR$22</f>
        <v>42.542733660287084</v>
      </c>
      <c r="AN14">
        <f>$AS$23*$B27/$AS$22</f>
        <v>271.56865646341464</v>
      </c>
      <c r="AT14" t="s">
        <v>66</v>
      </c>
      <c r="AV14" s="5">
        <f>AV5*0.003355</f>
        <v>1.6161307894736845</v>
      </c>
      <c r="AW14" s="5">
        <f>AW5*0.003355</f>
        <v>0</v>
      </c>
      <c r="AX14" s="25">
        <f>AX5*0.003355</f>
        <v>10.316461341463414</v>
      </c>
      <c r="AY14" s="5">
        <f>AY5*0.003355</f>
        <v>0</v>
      </c>
    </row>
    <row r="15" spans="7:51" ht="15.75">
      <c r="G15" s="29"/>
      <c r="I15" s="5"/>
      <c r="J15" s="16" t="s">
        <v>69</v>
      </c>
      <c r="L15" s="19" t="s">
        <v>70</v>
      </c>
      <c r="M15" s="24" t="s">
        <v>71</v>
      </c>
      <c r="O15" s="16" t="s">
        <v>72</v>
      </c>
      <c r="T15" t="s">
        <v>39</v>
      </c>
      <c r="U15" t="s">
        <v>73</v>
      </c>
      <c r="V15" t="s">
        <v>33</v>
      </c>
      <c r="W15">
        <v>3.77</v>
      </c>
      <c r="AK15" s="16" t="s">
        <v>74</v>
      </c>
      <c r="AM15">
        <f>SUM(AM8:AM13)</f>
        <v>48.78405520610254</v>
      </c>
      <c r="AN15">
        <f>SUM(AN8:AN13)</f>
        <v>277.8099780092301</v>
      </c>
      <c r="AT15" t="s">
        <v>68</v>
      </c>
      <c r="AV15" s="5">
        <f>AV9+SUM(AV11:AV14)</f>
        <v>42.542733660287084</v>
      </c>
      <c r="AW15" s="5">
        <f>(AV15-AM14)/AM14*100</f>
        <v>0</v>
      </c>
      <c r="AX15" s="25">
        <f>AX9+SUM(AX11:AX14)</f>
        <v>271.56865646341464</v>
      </c>
      <c r="AY15" s="5">
        <f>(AX15-AN14)/AN14*100</f>
        <v>0</v>
      </c>
    </row>
    <row r="16" spans="2:51" ht="15.75">
      <c r="B16" s="11" t="s">
        <v>26</v>
      </c>
      <c r="D16" s="11" t="s">
        <v>26</v>
      </c>
      <c r="F16" t="s">
        <v>27</v>
      </c>
      <c r="I16" s="5"/>
      <c r="M16" s="18"/>
      <c r="O16" s="16" t="s">
        <v>75</v>
      </c>
      <c r="T16" t="s">
        <v>39</v>
      </c>
      <c r="U16" t="s">
        <v>73</v>
      </c>
      <c r="V16" t="s">
        <v>17</v>
      </c>
      <c r="W16">
        <v>19</v>
      </c>
      <c r="AT16" s="16" t="s">
        <v>74</v>
      </c>
      <c r="AV16" s="5">
        <f>SUM(AV9:AV14)</f>
        <v>48.78405520610254</v>
      </c>
      <c r="AW16" s="5">
        <f>(AV16-AM15)/AM15*100</f>
        <v>0</v>
      </c>
      <c r="AX16" s="25">
        <f>SUM(AX9:AX14)</f>
        <v>277.8099780092301</v>
      </c>
      <c r="AY16" s="5">
        <f>(AX16-AN15)/AN15*100</f>
        <v>0</v>
      </c>
    </row>
    <row r="17" spans="1:51" ht="15.75">
      <c r="A17" t="s">
        <v>25</v>
      </c>
      <c r="B17" s="5">
        <f>HLOOKUP($O$26,$K$31:$R$49,4)</f>
        <v>907</v>
      </c>
      <c r="C17" s="5"/>
      <c r="D17" s="5">
        <f>AC23</f>
        <v>907</v>
      </c>
      <c r="F17" s="5">
        <f>(D17-B17)/B17*100</f>
        <v>0</v>
      </c>
      <c r="I17" s="5"/>
      <c r="J17" t="s">
        <v>76</v>
      </c>
      <c r="L17">
        <v>0</v>
      </c>
      <c r="M17" s="18">
        <v>0</v>
      </c>
      <c r="AK17" s="16" t="s">
        <v>39</v>
      </c>
      <c r="AM17">
        <f>B30</f>
        <v>1340</v>
      </c>
      <c r="AN17">
        <f>B30</f>
        <v>1340</v>
      </c>
      <c r="AV17" s="5"/>
      <c r="AW17" s="5"/>
      <c r="AX17" s="25"/>
      <c r="AY17" s="5"/>
    </row>
    <row r="18" spans="1:51" ht="15.75">
      <c r="A18" t="s">
        <v>35</v>
      </c>
      <c r="B18" s="5">
        <f>HLOOKUP($O$26,$K$31:$R$49,5)</f>
        <v>559.31373</v>
      </c>
      <c r="C18" s="5"/>
      <c r="D18" s="5">
        <f>IF(G6="Winter",0,IF(G4="C",H!O19*1000,H!N19*1000))</f>
        <v>559.3137299999994</v>
      </c>
      <c r="F18" s="5">
        <f>IF(G6="Winter",0,(D18-B18)/B18*100)</f>
        <v>-1.0163065165735877E-13</v>
      </c>
      <c r="I18" s="5"/>
      <c r="J18" t="s">
        <v>44</v>
      </c>
      <c r="L18">
        <v>339</v>
      </c>
      <c r="M18" s="18">
        <v>338</v>
      </c>
      <c r="O18" t="s">
        <v>43</v>
      </c>
      <c r="P18">
        <f>IF(D11&gt;95,95,D11)</f>
        <v>83</v>
      </c>
      <c r="U18" s="18"/>
      <c r="V18" s="18"/>
      <c r="W18" s="18" t="s">
        <v>77</v>
      </c>
      <c r="Y18" s="30" t="s">
        <v>78</v>
      </c>
      <c r="Z18" s="30" t="s">
        <v>79</v>
      </c>
      <c r="AA18" s="30" t="s">
        <v>80</v>
      </c>
      <c r="AB18" s="18" t="s">
        <v>81</v>
      </c>
      <c r="AC18" s="18"/>
      <c r="AT18" s="16" t="s">
        <v>39</v>
      </c>
      <c r="AV18" s="5">
        <f>AM17+AM17*AW18/100</f>
        <v>1340</v>
      </c>
      <c r="AW18" s="5">
        <f>AB32</f>
        <v>0</v>
      </c>
      <c r="AX18" s="25">
        <f>AN17+AN17*AY18/100</f>
        <v>1340</v>
      </c>
      <c r="AY18" s="5">
        <f>AB33</f>
        <v>0</v>
      </c>
    </row>
    <row r="19" spans="1:37" ht="15.75">
      <c r="A19" s="16" t="s">
        <v>41</v>
      </c>
      <c r="B19" s="31">
        <f>HLOOKUP($O$26,$K$31:$R$49,6)</f>
        <v>1466.31373</v>
      </c>
      <c r="C19" s="31"/>
      <c r="D19" s="31">
        <f>SUM(D17:D18)</f>
        <v>1466.3137299999994</v>
      </c>
      <c r="E19" s="16"/>
      <c r="F19" s="32">
        <f>(D19-B19)/B19*100</f>
        <v>-4.651944617129761E-14</v>
      </c>
      <c r="I19" s="5"/>
      <c r="J19" t="s">
        <v>48</v>
      </c>
      <c r="L19">
        <v>8.7</v>
      </c>
      <c r="M19" s="18">
        <v>8.7</v>
      </c>
      <c r="O19" t="s">
        <v>49</v>
      </c>
      <c r="P19">
        <f>IF(D12&lt;10,10,D12)</f>
        <v>32</v>
      </c>
      <c r="T19" s="19" t="s">
        <v>10</v>
      </c>
      <c r="U19" s="24" t="s">
        <v>11</v>
      </c>
      <c r="V19" s="24" t="s">
        <v>82</v>
      </c>
      <c r="W19" s="33" t="s">
        <v>23</v>
      </c>
      <c r="X19" s="34" t="s">
        <v>24</v>
      </c>
      <c r="Y19" s="24" t="s">
        <v>83</v>
      </c>
      <c r="Z19" s="33" t="s">
        <v>84</v>
      </c>
      <c r="AA19" s="33" t="s">
        <v>84</v>
      </c>
      <c r="AB19" s="33" t="s">
        <v>85</v>
      </c>
      <c r="AC19" s="24" t="s">
        <v>26</v>
      </c>
      <c r="AK19" t="s">
        <v>86</v>
      </c>
    </row>
    <row r="20" spans="9:44" ht="15.75">
      <c r="I20" s="5"/>
      <c r="J20" t="s">
        <v>52</v>
      </c>
      <c r="L20">
        <v>41</v>
      </c>
      <c r="M20" s="18">
        <v>50</v>
      </c>
      <c r="U20" s="18"/>
      <c r="V20" s="18"/>
      <c r="W20" s="18"/>
      <c r="Y20" s="18"/>
      <c r="Z20" s="18"/>
      <c r="AA20" s="18"/>
      <c r="AB20" s="18"/>
      <c r="AC20" s="18"/>
      <c r="AN20" t="s">
        <v>87</v>
      </c>
      <c r="AP20" t="s">
        <v>88</v>
      </c>
      <c r="AR20" t="s">
        <v>89</v>
      </c>
    </row>
    <row r="21" spans="1:45" ht="15.75">
      <c r="A21" t="s">
        <v>47</v>
      </c>
      <c r="B21" s="1">
        <f>HLOOKUP($O$26,$K$31:$R$49,8)</f>
        <v>53.54</v>
      </c>
      <c r="C21" s="1"/>
      <c r="D21" s="1">
        <f>D!C15</f>
        <v>53.54</v>
      </c>
      <c r="F21" s="5">
        <f>(D21-B21)/B21*100</f>
        <v>0</v>
      </c>
      <c r="I21" s="5"/>
      <c r="J21" t="s">
        <v>56</v>
      </c>
      <c r="L21">
        <v>83</v>
      </c>
      <c r="M21" s="18">
        <v>83</v>
      </c>
      <c r="T21" t="s">
        <v>31</v>
      </c>
      <c r="U21" t="s">
        <v>32</v>
      </c>
      <c r="V21">
        <f>IF(D10&lt;W5,D10-W5,IF(D10&gt;W6,D10-W6,0))</f>
        <v>0</v>
      </c>
      <c r="W21">
        <f>B!G27</f>
        <v>-0.56796286</v>
      </c>
      <c r="X21">
        <f>B!J27</f>
        <v>-0.48118636004000004</v>
      </c>
      <c r="Y21">
        <f>IF(V21&gt;0,0,W21*K$10+X21*L$10)</f>
        <v>-0.51971512602224</v>
      </c>
      <c r="AN21" t="s">
        <v>16</v>
      </c>
      <c r="AO21" t="s">
        <v>17</v>
      </c>
      <c r="AP21" t="s">
        <v>16</v>
      </c>
      <c r="AQ21" t="s">
        <v>17</v>
      </c>
      <c r="AR21" t="s">
        <v>16</v>
      </c>
      <c r="AS21" t="s">
        <v>17</v>
      </c>
    </row>
    <row r="22" spans="1:45" ht="15.75">
      <c r="A22" t="s">
        <v>51</v>
      </c>
      <c r="B22" s="1">
        <f>HLOOKUP($O$26,$K$31:$R$49,9)</f>
        <v>6.241321545815459</v>
      </c>
      <c r="C22" s="1"/>
      <c r="D22" s="1">
        <f>IF(G6="Winter",0,IF(G4="C",H!O25*1000,H!N25*1000))</f>
        <v>6.2413215458154525</v>
      </c>
      <c r="F22" s="5">
        <f>IF(G6="Winter",0,(D22-B22)/B22*100)</f>
        <v>-9.961430271236831E-14</v>
      </c>
      <c r="I22" s="5"/>
      <c r="J22" t="s">
        <v>62</v>
      </c>
      <c r="L22">
        <v>32</v>
      </c>
      <c r="M22" s="18">
        <v>26.4</v>
      </c>
      <c r="T22" t="s">
        <v>31</v>
      </c>
      <c r="U22" t="s">
        <v>43</v>
      </c>
      <c r="V22">
        <f>IF(P18&lt;W7,P18-W7,IF(P18&gt;W8,P18-W8,0))</f>
        <v>0</v>
      </c>
      <c r="W22">
        <f>B!G28</f>
        <v>-1.1916939200000007</v>
      </c>
      <c r="X22">
        <f>B!J28</f>
        <v>-0.37833649147000026</v>
      </c>
      <c r="Y22">
        <f>IF(V22&gt;0,0,W22*K$10+X22*L$10)</f>
        <v>-0.7394671897373205</v>
      </c>
      <c r="AK22" t="s">
        <v>90</v>
      </c>
      <c r="AN22">
        <v>0.82</v>
      </c>
      <c r="AO22">
        <v>0.18</v>
      </c>
      <c r="AP22">
        <v>0.836</v>
      </c>
      <c r="AQ22">
        <v>0.164</v>
      </c>
      <c r="AR22">
        <f>IF($G$5=1,AN22,AP22)</f>
        <v>0.836</v>
      </c>
      <c r="AS22">
        <f>IF($G$5=1,AO22,AQ22)</f>
        <v>0.164</v>
      </c>
    </row>
    <row r="23" spans="1:45" ht="15.75">
      <c r="A23" t="s">
        <v>55</v>
      </c>
      <c r="B23" s="1">
        <f>HLOOKUP($O$26,$K$31:$R$49,12)</f>
        <v>4.44</v>
      </c>
      <c r="C23" s="1"/>
      <c r="D23" s="1">
        <f>G!C15</f>
        <v>4.44</v>
      </c>
      <c r="F23" s="5">
        <f aca="true" t="shared" si="1" ref="F23:F28">(D23-B23)/B23*100</f>
        <v>0</v>
      </c>
      <c r="I23" s="5"/>
      <c r="J23" t="s">
        <v>65</v>
      </c>
      <c r="L23">
        <v>9.2</v>
      </c>
      <c r="M23" s="18">
        <v>11.9</v>
      </c>
      <c r="T23" t="s">
        <v>31</v>
      </c>
      <c r="U23" t="s">
        <v>49</v>
      </c>
      <c r="V23">
        <f>IF(P19&lt;W9,P19-W9,IF(P19&gt;W10,P19-W10,0))</f>
        <v>0</v>
      </c>
      <c r="W23">
        <f>B!G29</f>
        <v>0.34821371000000045</v>
      </c>
      <c r="X23">
        <f>B!J29</f>
        <v>0.43832087972999995</v>
      </c>
      <c r="Y23">
        <f>W23*K$10+X23*L$10</f>
        <v>0.3983132963698802</v>
      </c>
      <c r="Z23">
        <f>B!D15</f>
        <v>0</v>
      </c>
      <c r="AA23">
        <f>Z23+V21*Y21+V22*Y22+V23*Y23</f>
        <v>0</v>
      </c>
      <c r="AB23">
        <f>AA23-Z23</f>
        <v>0</v>
      </c>
      <c r="AC23">
        <f>$B$17+$B$17*AA23/100</f>
        <v>907</v>
      </c>
      <c r="AK23" t="s">
        <v>91</v>
      </c>
      <c r="AN23">
        <v>0.52</v>
      </c>
      <c r="AO23">
        <v>0.48</v>
      </c>
      <c r="AP23">
        <v>0.444</v>
      </c>
      <c r="AQ23">
        <v>0.556</v>
      </c>
      <c r="AR23">
        <f>IF($G$5=1,AN23,AP23)</f>
        <v>0.444</v>
      </c>
      <c r="AS23">
        <f>IF($G$5=1,AO23,AQ23)</f>
        <v>0.556</v>
      </c>
    </row>
    <row r="24" spans="1:25" ht="15.75">
      <c r="A24" t="s">
        <v>61</v>
      </c>
      <c r="B24" s="1">
        <f>HLOOKUP($O$26,$K$31:$R$49,13)</f>
        <v>9.7</v>
      </c>
      <c r="C24" s="1"/>
      <c r="D24" s="1">
        <f>F!C15</f>
        <v>9.7</v>
      </c>
      <c r="F24" s="5">
        <f t="shared" si="1"/>
        <v>0</v>
      </c>
      <c r="G24" s="5"/>
      <c r="I24" s="5"/>
      <c r="J24" t="s">
        <v>67</v>
      </c>
      <c r="L24">
        <v>1.53</v>
      </c>
      <c r="M24" s="18">
        <v>1.64</v>
      </c>
      <c r="T24" t="s">
        <v>39</v>
      </c>
      <c r="U24" t="s">
        <v>60</v>
      </c>
      <c r="V24">
        <f>IF(D8&lt;W11,D8-W11,IF(D8&gt;W12,D8-W12,0))</f>
        <v>0</v>
      </c>
      <c r="W24">
        <f>C!G26</f>
        <v>0.024278686</v>
      </c>
      <c r="X24">
        <f>C!J26</f>
        <v>0.0252</v>
      </c>
      <c r="Y24">
        <f>W24*K$11+X24*L$11</f>
        <v>0.024520070268000002</v>
      </c>
    </row>
    <row r="25" spans="1:25" ht="15.75">
      <c r="A25" t="s">
        <v>64</v>
      </c>
      <c r="B25" s="1">
        <f>HLOOKUP($O$26,$K$31:$R$49,14)</f>
        <v>9.38</v>
      </c>
      <c r="C25" s="1"/>
      <c r="D25" s="1">
        <f>E!C15</f>
        <v>9.38</v>
      </c>
      <c r="F25" s="5">
        <f t="shared" si="1"/>
        <v>0</v>
      </c>
      <c r="G25" s="5"/>
      <c r="T25" t="s">
        <v>39</v>
      </c>
      <c r="U25" t="s">
        <v>49</v>
      </c>
      <c r="V25">
        <f>IF(P19&lt;W13,P19-W13,IF(P19&gt;W14,P19-W14,0))</f>
        <v>0</v>
      </c>
      <c r="W25">
        <f>C!G27</f>
        <v>0.0744</v>
      </c>
      <c r="X25">
        <f>C!J27</f>
        <v>0.19801406692682008</v>
      </c>
      <c r="Y25">
        <f>IF(V25&gt;0,0,W25*K$11+X25*L$11)</f>
        <v>0.10678688553482686</v>
      </c>
    </row>
    <row r="26" spans="1:29" ht="15.75">
      <c r="A26" t="s">
        <v>66</v>
      </c>
      <c r="B26" s="1">
        <f>HLOOKUP($O$26,$K$31:$R$49,15)</f>
        <v>3.042985</v>
      </c>
      <c r="C26" s="1"/>
      <c r="D26" s="1">
        <f>D17*0.003355</f>
        <v>3.042985</v>
      </c>
      <c r="F26" s="5">
        <f t="shared" si="1"/>
        <v>0</v>
      </c>
      <c r="G26" s="5"/>
      <c r="J26" s="16" t="s">
        <v>92</v>
      </c>
      <c r="M26" t="s">
        <v>93</v>
      </c>
      <c r="O26">
        <f>IF(G4="B",10,20)+IF(G5=1,1,2)+IF(G6="Summer",100,200)</f>
        <v>112</v>
      </c>
      <c r="T26" t="s">
        <v>39</v>
      </c>
      <c r="U26" t="s">
        <v>73</v>
      </c>
      <c r="V26">
        <f>IF(D13&lt;W15,D13-W15,IF(D13&gt;W16,D13-W16,0))</f>
        <v>0</v>
      </c>
      <c r="W26">
        <f>C!G28</f>
        <v>0.3970468</v>
      </c>
      <c r="X26">
        <f>C!J28</f>
        <v>0.39740997416</v>
      </c>
      <c r="Y26">
        <f>IF(V26&lt;0,0,W26*K$11+X26*L$11)</f>
        <v>0.39714195162992</v>
      </c>
      <c r="Z26">
        <f>C!D15</f>
        <v>0</v>
      </c>
      <c r="AA26">
        <f>Z26+V24*Y24+V25*Y25+V26*Y26</f>
        <v>0</v>
      </c>
      <c r="AB26">
        <f>AA26-Z26</f>
        <v>0</v>
      </c>
      <c r="AC26">
        <f>$B$30+$B$30*AA26/100</f>
        <v>1340</v>
      </c>
    </row>
    <row r="27" spans="1:7" ht="15.75">
      <c r="A27" t="s">
        <v>68</v>
      </c>
      <c r="B27" s="1">
        <f>HLOOKUP($O$26,$K$31:$R$49,16)</f>
        <v>80.102985</v>
      </c>
      <c r="D27" s="1">
        <f>SUM(D23:D26)+D21</f>
        <v>80.102985</v>
      </c>
      <c r="F27" s="5">
        <f t="shared" si="1"/>
        <v>0</v>
      </c>
      <c r="G27" s="5"/>
    </row>
    <row r="28" spans="1:25" ht="15.75">
      <c r="A28" s="16" t="s">
        <v>74</v>
      </c>
      <c r="B28" s="35">
        <f>HLOOKUP($O$26,$K$31:$R$49,17)</f>
        <v>86.34430654581546</v>
      </c>
      <c r="C28" s="35"/>
      <c r="D28" s="35">
        <f>SUM(D21:D26)</f>
        <v>86.34430654581546</v>
      </c>
      <c r="E28" s="16"/>
      <c r="F28" s="32">
        <f t="shared" si="1"/>
        <v>0</v>
      </c>
      <c r="J28" t="s">
        <v>94</v>
      </c>
      <c r="K28" s="10" t="s">
        <v>95</v>
      </c>
      <c r="L28" s="10" t="s">
        <v>95</v>
      </c>
      <c r="M28" s="10" t="s">
        <v>22</v>
      </c>
      <c r="N28" s="10" t="s">
        <v>22</v>
      </c>
      <c r="O28" s="10" t="s">
        <v>95</v>
      </c>
      <c r="P28" s="10" t="s">
        <v>95</v>
      </c>
      <c r="Q28" s="10" t="s">
        <v>22</v>
      </c>
      <c r="R28" s="10" t="s">
        <v>22</v>
      </c>
      <c r="T28" t="s">
        <v>96</v>
      </c>
      <c r="Y28" t="s">
        <v>97</v>
      </c>
    </row>
    <row r="29" spans="9:18" ht="15.75">
      <c r="I29" s="5"/>
      <c r="J29" t="s">
        <v>98</v>
      </c>
      <c r="K29">
        <v>1</v>
      </c>
      <c r="L29">
        <v>2</v>
      </c>
      <c r="M29">
        <v>1</v>
      </c>
      <c r="N29">
        <v>2</v>
      </c>
      <c r="O29">
        <v>1</v>
      </c>
      <c r="P29">
        <v>2</v>
      </c>
      <c r="Q29">
        <v>1</v>
      </c>
      <c r="R29">
        <v>2</v>
      </c>
    </row>
    <row r="30" spans="1:28" ht="15.75">
      <c r="A30" s="16" t="s">
        <v>39</v>
      </c>
      <c r="B30" s="31">
        <f>HLOOKUP($O$26,$K$31:$R$49,19)</f>
        <v>1340</v>
      </c>
      <c r="C30" s="35"/>
      <c r="D30" s="31">
        <f>AC26</f>
        <v>1340</v>
      </c>
      <c r="E30" s="16"/>
      <c r="F30" s="32">
        <f>(D30-B30)/B30*100</f>
        <v>0</v>
      </c>
      <c r="J30" s="5" t="s">
        <v>99</v>
      </c>
      <c r="K30" s="10" t="s">
        <v>38</v>
      </c>
      <c r="L30" s="10" t="s">
        <v>38</v>
      </c>
      <c r="M30" s="10" t="s">
        <v>38</v>
      </c>
      <c r="N30" s="10" t="s">
        <v>38</v>
      </c>
      <c r="O30" s="10" t="s">
        <v>71</v>
      </c>
      <c r="P30" s="10" t="s">
        <v>71</v>
      </c>
      <c r="Q30" s="10" t="s">
        <v>71</v>
      </c>
      <c r="R30" s="10" t="s">
        <v>71</v>
      </c>
      <c r="T30" t="s">
        <v>31</v>
      </c>
      <c r="U30">
        <f>ABS(V21)+ABS(V22)+ABS(V23)</f>
        <v>0</v>
      </c>
      <c r="Y30" t="s">
        <v>31</v>
      </c>
      <c r="Z30" t="s">
        <v>16</v>
      </c>
      <c r="AA30">
        <f>V21*W21+V22*W22+V23*W23+B!D14</f>
        <v>0</v>
      </c>
      <c r="AB30">
        <f>AA30-Z30</f>
        <v>0</v>
      </c>
    </row>
    <row r="31" spans="2:28" ht="15.75">
      <c r="B31" s="1"/>
      <c r="C31" s="1"/>
      <c r="D31" s="1"/>
      <c r="J31" t="s">
        <v>100</v>
      </c>
      <c r="K31">
        <f aca="true" t="shared" si="2" ref="K31:R31">IF(K28="B",10,20)+IF(K29=1,1,2)+IF(K30="Summer",100,200)</f>
        <v>111</v>
      </c>
      <c r="L31">
        <f t="shared" si="2"/>
        <v>112</v>
      </c>
      <c r="M31">
        <f t="shared" si="2"/>
        <v>121</v>
      </c>
      <c r="N31">
        <f t="shared" si="2"/>
        <v>122</v>
      </c>
      <c r="O31">
        <f t="shared" si="2"/>
        <v>211</v>
      </c>
      <c r="P31">
        <f t="shared" si="2"/>
        <v>212</v>
      </c>
      <c r="Q31">
        <f t="shared" si="2"/>
        <v>221</v>
      </c>
      <c r="R31">
        <f t="shared" si="2"/>
        <v>222</v>
      </c>
      <c r="T31" t="s">
        <v>39</v>
      </c>
      <c r="U31">
        <f>ABS(V24)+ABS(V25)+ABS(V26)</f>
        <v>0</v>
      </c>
      <c r="Y31" t="s">
        <v>31</v>
      </c>
      <c r="Z31" t="s">
        <v>17</v>
      </c>
      <c r="AA31">
        <f>V21*X21+V22*X22+V23*X23+B!D16</f>
        <v>0</v>
      </c>
      <c r="AB31">
        <f>AA31-Z31</f>
        <v>0</v>
      </c>
    </row>
    <row r="32" spans="25:28" ht="15.75">
      <c r="Y32" t="s">
        <v>39</v>
      </c>
      <c r="Z32" t="s">
        <v>16</v>
      </c>
      <c r="AA32">
        <f>V24*W24+V25*W25+V26*W26+C!D14</f>
        <v>0</v>
      </c>
      <c r="AB32">
        <f>AA32-Z32</f>
        <v>0</v>
      </c>
    </row>
    <row r="33" spans="25:28" ht="15.75">
      <c r="Y33" t="s">
        <v>39</v>
      </c>
      <c r="Z33" t="s">
        <v>17</v>
      </c>
      <c r="AA33">
        <f>V24*X24+V25*X25+V26*X26+C!D16</f>
        <v>0</v>
      </c>
      <c r="AB33">
        <f>AA33-Z33</f>
        <v>0</v>
      </c>
    </row>
    <row r="34" spans="10:21" ht="15.75">
      <c r="J34" t="s">
        <v>25</v>
      </c>
      <c r="K34" s="5">
        <v>446</v>
      </c>
      <c r="L34" s="5">
        <v>907</v>
      </c>
      <c r="M34" s="5">
        <v>446</v>
      </c>
      <c r="N34" s="5">
        <v>907</v>
      </c>
      <c r="O34" s="5">
        <v>660</v>
      </c>
      <c r="P34" s="5">
        <v>1341</v>
      </c>
      <c r="Q34" s="5">
        <v>660</v>
      </c>
      <c r="R34" s="5">
        <v>1341</v>
      </c>
      <c r="T34" s="5"/>
      <c r="U34" s="5"/>
    </row>
    <row r="35" spans="1:21" ht="15.75">
      <c r="A35" s="16" t="s">
        <v>101</v>
      </c>
      <c r="J35" t="s">
        <v>102</v>
      </c>
      <c r="K35" s="5">
        <v>860.48409</v>
      </c>
      <c r="L35" s="5">
        <v>559.31373</v>
      </c>
      <c r="M35" s="5">
        <v>769.10246</v>
      </c>
      <c r="N35" s="5">
        <v>492.06808</v>
      </c>
      <c r="O35" s="5">
        <v>0</v>
      </c>
      <c r="P35" s="5">
        <v>0</v>
      </c>
      <c r="Q35" s="5">
        <v>0</v>
      </c>
      <c r="R35" s="5">
        <v>0</v>
      </c>
      <c r="T35" s="5"/>
      <c r="U35" s="5"/>
    </row>
    <row r="36" spans="10:21" ht="15.75">
      <c r="J36" t="s">
        <v>41</v>
      </c>
      <c r="K36" s="5">
        <v>1306.48409</v>
      </c>
      <c r="L36" s="5">
        <v>1466.31373</v>
      </c>
      <c r="M36" s="5">
        <v>1215.10246</v>
      </c>
      <c r="N36" s="5">
        <v>1399.06808</v>
      </c>
      <c r="O36" s="5">
        <v>660</v>
      </c>
      <c r="P36" s="5">
        <v>1341</v>
      </c>
      <c r="Q36" s="5">
        <v>660</v>
      </c>
      <c r="R36" s="5">
        <v>1341</v>
      </c>
      <c r="T36" s="5"/>
      <c r="U36" s="5"/>
    </row>
    <row r="37" spans="1:21" ht="15.75">
      <c r="A37" t="s">
        <v>103</v>
      </c>
      <c r="L37" s="1"/>
      <c r="N37" s="1"/>
      <c r="T37" s="1"/>
      <c r="U37" s="1"/>
    </row>
    <row r="38" spans="1:21" ht="15.75">
      <c r="A38" t="s">
        <v>104</v>
      </c>
      <c r="J38" t="s">
        <v>47</v>
      </c>
      <c r="K38" s="1">
        <v>26.1</v>
      </c>
      <c r="L38" s="1">
        <v>53.54</v>
      </c>
      <c r="M38" s="1">
        <v>26.1</v>
      </c>
      <c r="N38" s="1">
        <v>53.54</v>
      </c>
      <c r="O38" s="1">
        <v>37.57</v>
      </c>
      <c r="P38" s="1">
        <v>77.62</v>
      </c>
      <c r="Q38" s="1">
        <v>37.57</v>
      </c>
      <c r="R38" s="1">
        <v>77.62</v>
      </c>
      <c r="T38" s="1"/>
      <c r="U38" s="1"/>
    </row>
    <row r="39" spans="10:21" ht="15.75">
      <c r="J39" t="s">
        <v>105</v>
      </c>
      <c r="K39" s="1">
        <v>9.659104216380149</v>
      </c>
      <c r="L39" s="1">
        <v>6.241321545815459</v>
      </c>
      <c r="M39" s="1">
        <v>8.6328043001454</v>
      </c>
      <c r="N39" s="1">
        <v>5.504744819203652</v>
      </c>
      <c r="O39" s="1">
        <v>0</v>
      </c>
      <c r="P39" s="1">
        <v>0</v>
      </c>
      <c r="Q39" s="1">
        <v>0</v>
      </c>
      <c r="R39" s="1">
        <v>0</v>
      </c>
      <c r="T39" s="1"/>
      <c r="U39" s="1"/>
    </row>
    <row r="40" spans="1:21" ht="15.75">
      <c r="A40" s="36" t="str">
        <f>IF(CODE(A42)+CODE(A43)+CODE(A44)+CODE(A45)+CODE(A46)+CODE(A47)+CODE(A48)+CODE(A49)+CODE(A50)+CODE(A51)+CODE(A52)+CODE(A53)+CODE(A54)+CODE(A55)+CODE(A56)+CODE(A57)+CODE(A58)&lt;&gt;544," ","No warnings or caveats are required for the current settings")</f>
        <v>No warnings or caveats are required for the current settings</v>
      </c>
      <c r="B40" s="1"/>
      <c r="C40" s="1"/>
      <c r="D40" s="1"/>
      <c r="J40" t="s">
        <v>106</v>
      </c>
      <c r="K40" s="1">
        <v>35.75910421638015</v>
      </c>
      <c r="L40" s="1">
        <v>59.78132154581546</v>
      </c>
      <c r="M40" s="1">
        <v>34.7328043001454</v>
      </c>
      <c r="N40" s="1">
        <v>59.04474481920365</v>
      </c>
      <c r="O40" s="1">
        <v>37.57</v>
      </c>
      <c r="P40" s="1">
        <v>77.62</v>
      </c>
      <c r="Q40" s="1">
        <v>37.57</v>
      </c>
      <c r="R40" s="1">
        <v>77.62</v>
      </c>
      <c r="T40" s="1"/>
      <c r="U40" s="1"/>
    </row>
    <row r="41" spans="1:21" ht="15.75">
      <c r="A41" s="36"/>
      <c r="K41" s="1"/>
      <c r="L41" s="1"/>
      <c r="M41" s="1"/>
      <c r="N41" s="1"/>
      <c r="O41" s="1"/>
      <c r="P41" s="1"/>
      <c r="Q41" s="1"/>
      <c r="R41" s="1"/>
      <c r="T41" s="1"/>
      <c r="U41" s="1"/>
    </row>
    <row r="42" spans="1:21" ht="15.75">
      <c r="A42" s="36" t="str">
        <f>IF(G4="C"," ",IF(G4="B"," ","Area class is not readable"))</f>
        <v> </v>
      </c>
      <c r="J42" t="s">
        <v>55</v>
      </c>
      <c r="K42" s="1">
        <v>2.19</v>
      </c>
      <c r="L42" s="1">
        <v>4.44</v>
      </c>
      <c r="M42" s="1">
        <v>2.19</v>
      </c>
      <c r="N42" s="1">
        <v>4.44</v>
      </c>
      <c r="O42" s="1">
        <v>3.57</v>
      </c>
      <c r="P42" s="1">
        <v>7.25</v>
      </c>
      <c r="Q42" s="1">
        <v>3.57</v>
      </c>
      <c r="R42" s="1">
        <v>7.25</v>
      </c>
      <c r="T42" s="1"/>
      <c r="U42" s="1"/>
    </row>
    <row r="43" spans="1:21" ht="15.75">
      <c r="A43" s="36" t="str">
        <f>IF(G5=1," ",IF(G5=2," ","Phase is not readable"))</f>
        <v> </v>
      </c>
      <c r="J43" t="s">
        <v>61</v>
      </c>
      <c r="K43" s="1">
        <v>4.85</v>
      </c>
      <c r="L43" s="1">
        <v>9.7</v>
      </c>
      <c r="M43" s="1">
        <v>4.85</v>
      </c>
      <c r="N43" s="1">
        <v>9.7</v>
      </c>
      <c r="O43" s="1">
        <v>7.73</v>
      </c>
      <c r="P43" s="1">
        <v>15.34</v>
      </c>
      <c r="Q43" s="1">
        <v>7.73</v>
      </c>
      <c r="R43" s="1">
        <v>15.34</v>
      </c>
      <c r="T43" s="1"/>
      <c r="U43" s="1"/>
    </row>
    <row r="44" spans="1:21" ht="15.75">
      <c r="A44" s="36" t="str">
        <f>IF(G6="Summer"," ",IF(G6="Winter"," ","Season is not readable"))</f>
        <v> </v>
      </c>
      <c r="J44" t="s">
        <v>64</v>
      </c>
      <c r="K44" s="1">
        <v>4.31</v>
      </c>
      <c r="L44" s="1">
        <v>9.38</v>
      </c>
      <c r="M44" s="1">
        <v>4.31</v>
      </c>
      <c r="N44" s="1">
        <v>9.38</v>
      </c>
      <c r="O44" s="1">
        <v>7.27</v>
      </c>
      <c r="P44" s="1">
        <v>15.84</v>
      </c>
      <c r="Q44" s="1">
        <v>7.27</v>
      </c>
      <c r="R44" s="1">
        <v>15.84</v>
      </c>
      <c r="T44" s="1"/>
      <c r="U44" s="1"/>
    </row>
    <row r="45" spans="1:21" ht="15.75">
      <c r="A45" s="36" t="str">
        <f>IF(U30&lt;&gt;0,"The exhaust VOC curve has been extrapolated"," ")</f>
        <v> </v>
      </c>
      <c r="J45" t="s">
        <v>66</v>
      </c>
      <c r="K45" s="1">
        <v>1.49633</v>
      </c>
      <c r="L45" s="1">
        <v>3.042985</v>
      </c>
      <c r="M45" s="1">
        <v>1.49633</v>
      </c>
      <c r="N45" s="1">
        <v>3.042985</v>
      </c>
      <c r="O45" s="1">
        <v>2.2143</v>
      </c>
      <c r="P45" s="1">
        <v>4.499055</v>
      </c>
      <c r="Q45" s="1">
        <v>2.2143</v>
      </c>
      <c r="R45" s="1">
        <v>4.499055</v>
      </c>
      <c r="T45" s="1"/>
      <c r="U45" s="1"/>
    </row>
    <row r="46" spans="1:21" ht="15.75">
      <c r="A46" s="36" t="str">
        <f>IF(U31&lt;&gt;0,"The exhaust NOx curve has been extrapolated"," ")</f>
        <v> </v>
      </c>
      <c r="J46" t="s">
        <v>107</v>
      </c>
      <c r="K46" s="1">
        <v>38.94633</v>
      </c>
      <c r="L46" s="1">
        <v>80.102985</v>
      </c>
      <c r="M46" s="1">
        <v>38.94633</v>
      </c>
      <c r="N46" s="1">
        <v>80.102985</v>
      </c>
      <c r="O46" s="1">
        <v>58.3543</v>
      </c>
      <c r="P46" s="1">
        <v>120.549055</v>
      </c>
      <c r="Q46" s="1">
        <v>58.3543</v>
      </c>
      <c r="R46" s="1">
        <v>120.549055</v>
      </c>
      <c r="T46" s="1"/>
      <c r="U46" s="1"/>
    </row>
    <row r="47" spans="1:21" ht="15.75">
      <c r="A47" s="36" t="str">
        <f>IF(D7&lt;&gt;0,"There is no effect of TAME on emissions of aldehydes"," ")</f>
        <v> </v>
      </c>
      <c r="J47" t="s">
        <v>74</v>
      </c>
      <c r="K47" s="1">
        <v>48.60543421638015</v>
      </c>
      <c r="L47" s="1">
        <v>86.34430654581546</v>
      </c>
      <c r="M47" s="1">
        <v>47.5791343001454</v>
      </c>
      <c r="N47" s="1">
        <v>85.60772</v>
      </c>
      <c r="O47" s="1">
        <v>58.3543</v>
      </c>
      <c r="P47" s="1">
        <v>120.549055</v>
      </c>
      <c r="Q47" s="1">
        <v>58.3543</v>
      </c>
      <c r="R47" s="1">
        <v>120.549055</v>
      </c>
      <c r="T47" s="1"/>
      <c r="U47" s="1"/>
    </row>
    <row r="48" spans="1:18" ht="15.75">
      <c r="A48" s="36" t="str">
        <f>IF(Q12&lt;K59,"The target fuel oxygen content is outside of the valid range for reformulated gasoline",IF(Q12&gt;L59,"The target fuel oxygen content is outside of the valid range for reformulated gasoline"," "))</f>
        <v> </v>
      </c>
      <c r="K48" s="1"/>
      <c r="L48" s="1"/>
      <c r="M48" s="1"/>
      <c r="O48" s="1"/>
      <c r="P48" s="1"/>
      <c r="Q48" s="1"/>
      <c r="R48" s="1"/>
    </row>
    <row r="49" spans="1:21" ht="15.75">
      <c r="A49" s="36" t="str">
        <f>IF(D8&lt;K60,"The target fuel sulfur content is outside of the valid range for reformulated gasoline",IF(D8&gt;L60,"The target fuel sulfur content is outside of the valid range for reformulated gasoline"," "))</f>
        <v> </v>
      </c>
      <c r="J49" t="s">
        <v>39</v>
      </c>
      <c r="K49" s="1">
        <v>660</v>
      </c>
      <c r="L49" s="1">
        <v>1340</v>
      </c>
      <c r="M49" s="1">
        <v>660</v>
      </c>
      <c r="N49" s="1">
        <v>1340</v>
      </c>
      <c r="O49" s="1">
        <v>750</v>
      </c>
      <c r="P49" s="1">
        <v>1540</v>
      </c>
      <c r="Q49" s="1">
        <v>750</v>
      </c>
      <c r="R49" s="1">
        <v>1540</v>
      </c>
      <c r="T49" s="1"/>
      <c r="U49" s="1"/>
    </row>
    <row r="50" ht="15.75">
      <c r="A50" s="36" t="str">
        <f>IF(D9&lt;K61,"The target fuel RVP is outside of the valid range for reformulated gasoline",IF(D9&gt;L61,"The target fuel RVP is outside of the valid range for reformulated gasoline"," "))</f>
        <v> </v>
      </c>
    </row>
    <row r="51" ht="15.75">
      <c r="A51" s="36" t="str">
        <f>IF(D10&lt;K62,"The target fuel E200 level content is outside of the valid range for reformulated gasoline",IF(D10&gt;L62,"The target fuel E200 level is outside of the valid range for reformulated gasoline"," "))</f>
        <v> </v>
      </c>
    </row>
    <row r="52" ht="15.75">
      <c r="A52" s="36" t="str">
        <f>IF(P18&lt;K63,"The target fuel E300 level is outside of the valid range for reformulated gasoline",IF(P18&gt;L63,"The target fuel E300 level is outside of the valid range for reformulated gasoline"," "))</f>
        <v> </v>
      </c>
    </row>
    <row r="53" ht="15.75">
      <c r="A53" s="36" t="str">
        <f>IF(P19&lt;K64,"The target fuel aromatics content is outside of the valid range for reformulated gasoline",IF(P19&gt;L64,"The target fuel aromatics content is outside of the valid range for reformulated gasoline"," "))</f>
        <v> </v>
      </c>
    </row>
    <row r="54" ht="15.75">
      <c r="A54" s="36" t="str">
        <f>IF(D13&lt;K65,"The target fuel olefins content is outside of the valid range for reformulated gasoline",IF(D13&gt;L65,"The target fuel olefins content is outside of the valid range for reformulated gasoline"," "))</f>
        <v> </v>
      </c>
    </row>
    <row r="55" spans="1:10" ht="15.75">
      <c r="A55" s="36" t="str">
        <f>IF(D14&lt;K66,"The target fuel benzene content is outside of the valid range for reformulated gasoline",IF(D14&gt;L66,"The target fuel benzene content is outside of the valid range for reformulated gasoline"," "))</f>
        <v> </v>
      </c>
      <c r="J55" s="16" t="s">
        <v>108</v>
      </c>
    </row>
    <row r="56" ht="15.75">
      <c r="A56" s="36" t="str">
        <f>IF(P19&lt;10,"There is no effect of aromatics on emissions below 10 vol%"," ")</f>
        <v> </v>
      </c>
    </row>
    <row r="57" spans="1:13" ht="15.75">
      <c r="A57" s="36" t="str">
        <f>IF(P18&gt;95,"There is no effect of E300 on emissions above 95%"," ")</f>
        <v> </v>
      </c>
      <c r="K57" t="s">
        <v>109</v>
      </c>
      <c r="M57" s="18" t="s">
        <v>110</v>
      </c>
    </row>
    <row r="58" spans="1:14" ht="15.75">
      <c r="A58" s="36" t="str">
        <f>IF(D10&gt;40.1,IF(D11&gt;79.6," ","The target fuel may cause driveability problems"),"The target fuel may cause driveability problems")</f>
        <v> </v>
      </c>
      <c r="K58" s="19" t="s">
        <v>111</v>
      </c>
      <c r="L58" s="19" t="s">
        <v>112</v>
      </c>
      <c r="M58" s="24" t="s">
        <v>111</v>
      </c>
      <c r="N58" s="19" t="s">
        <v>112</v>
      </c>
    </row>
    <row r="59" spans="1:14" ht="15.75">
      <c r="A59" s="36"/>
      <c r="J59" t="s">
        <v>113</v>
      </c>
      <c r="K59">
        <v>0</v>
      </c>
      <c r="L59">
        <v>3.7</v>
      </c>
      <c r="M59" s="18">
        <v>0</v>
      </c>
      <c r="N59">
        <v>3.7</v>
      </c>
    </row>
    <row r="60" spans="1:14" ht="15.75">
      <c r="A60" s="36"/>
      <c r="J60" t="s">
        <v>60</v>
      </c>
      <c r="K60">
        <v>0</v>
      </c>
      <c r="L60">
        <v>500</v>
      </c>
      <c r="M60" s="18">
        <v>0</v>
      </c>
      <c r="N60">
        <v>1000</v>
      </c>
    </row>
    <row r="61" spans="1:14" ht="15.75">
      <c r="A61" s="36"/>
      <c r="J61" t="s">
        <v>114</v>
      </c>
      <c r="K61">
        <v>6.4</v>
      </c>
      <c r="L61">
        <v>10</v>
      </c>
      <c r="M61" s="18">
        <v>6.4</v>
      </c>
      <c r="N61">
        <v>11</v>
      </c>
    </row>
    <row r="62" spans="1:14" ht="15.75">
      <c r="A62" s="36"/>
      <c r="J62" t="s">
        <v>32</v>
      </c>
      <c r="K62">
        <v>30</v>
      </c>
      <c r="L62">
        <v>70</v>
      </c>
      <c r="M62" s="18">
        <v>30</v>
      </c>
      <c r="N62">
        <v>70</v>
      </c>
    </row>
    <row r="63" spans="1:14" ht="15.75">
      <c r="A63" s="36"/>
      <c r="J63" t="s">
        <v>43</v>
      </c>
      <c r="K63">
        <v>70</v>
      </c>
      <c r="L63">
        <v>95</v>
      </c>
      <c r="M63" s="18">
        <v>70</v>
      </c>
      <c r="N63">
        <v>100</v>
      </c>
    </row>
    <row r="64" spans="1:14" ht="15.75">
      <c r="A64" s="36"/>
      <c r="J64" t="s">
        <v>49</v>
      </c>
      <c r="K64">
        <v>10</v>
      </c>
      <c r="L64">
        <v>50</v>
      </c>
      <c r="M64" s="18">
        <v>0</v>
      </c>
      <c r="N64">
        <v>55</v>
      </c>
    </row>
    <row r="65" spans="1:14" ht="15.75">
      <c r="A65" s="36"/>
      <c r="J65" t="s">
        <v>73</v>
      </c>
      <c r="K65">
        <v>0</v>
      </c>
      <c r="L65">
        <v>25</v>
      </c>
      <c r="M65" s="18">
        <v>0</v>
      </c>
      <c r="N65">
        <v>30</v>
      </c>
    </row>
    <row r="66" spans="1:14" ht="15.75">
      <c r="A66" s="36"/>
      <c r="J66" t="s">
        <v>115</v>
      </c>
      <c r="K66">
        <v>0</v>
      </c>
      <c r="L66">
        <v>2</v>
      </c>
      <c r="M66" s="18">
        <v>0</v>
      </c>
      <c r="N66">
        <v>4.9</v>
      </c>
    </row>
    <row r="67" spans="1:14" ht="15.75">
      <c r="A67" s="36"/>
      <c r="J67" t="s">
        <v>116</v>
      </c>
      <c r="K67">
        <v>0</v>
      </c>
      <c r="L67">
        <v>3.7</v>
      </c>
      <c r="M67" s="18">
        <v>0</v>
      </c>
      <c r="N67">
        <v>3.7</v>
      </c>
    </row>
    <row r="68" spans="1:14" ht="15.75">
      <c r="A68" s="36"/>
      <c r="J68" t="s">
        <v>117</v>
      </c>
      <c r="K68">
        <v>0</v>
      </c>
      <c r="L68">
        <v>3.7</v>
      </c>
      <c r="M68" s="18">
        <v>0</v>
      </c>
      <c r="N68">
        <v>3.7</v>
      </c>
    </row>
    <row r="69" spans="1:14" ht="15.75">
      <c r="A69" s="36"/>
      <c r="J69" t="s">
        <v>118</v>
      </c>
      <c r="K69">
        <v>0</v>
      </c>
      <c r="L69">
        <v>3.7</v>
      </c>
      <c r="M69" s="18">
        <v>0</v>
      </c>
      <c r="N69">
        <v>3.7</v>
      </c>
    </row>
    <row r="70" spans="1:14" ht="15.75">
      <c r="A70" s="36"/>
      <c r="J70" t="s">
        <v>119</v>
      </c>
      <c r="K70">
        <v>0</v>
      </c>
      <c r="L70">
        <v>3.7</v>
      </c>
      <c r="M70" s="18">
        <v>0</v>
      </c>
      <c r="N70">
        <v>3.7</v>
      </c>
    </row>
    <row r="71" ht="15.75">
      <c r="A71" s="36"/>
    </row>
    <row r="72" ht="15.75">
      <c r="A72" s="36"/>
    </row>
    <row r="73" ht="15.75">
      <c r="A73" s="36"/>
    </row>
    <row r="74" ht="15.75">
      <c r="A74" s="36"/>
    </row>
    <row r="75" ht="15.75">
      <c r="A75" s="36"/>
    </row>
    <row r="76" ht="15.75">
      <c r="A76" s="36"/>
    </row>
    <row r="77" ht="15.75">
      <c r="A77" s="36"/>
    </row>
    <row r="78" ht="15.75">
      <c r="A78" s="36"/>
    </row>
    <row r="79" ht="15.75">
      <c r="A79" s="36"/>
    </row>
    <row r="80" ht="15.75">
      <c r="A80" s="36"/>
    </row>
    <row r="81" ht="15.75">
      <c r="A81" s="36"/>
    </row>
    <row r="82" ht="15.75">
      <c r="A82" s="36"/>
    </row>
    <row r="83" ht="15.75">
      <c r="A83" s="36"/>
    </row>
  </sheetData>
  <sheetProtection sheet="1"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W207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5" width="9.77734375" style="0" customWidth="1"/>
    <col min="6" max="6" width="10.77734375" style="0" customWidth="1"/>
    <col min="7" max="7" width="14.77734375" style="0" customWidth="1"/>
    <col min="8" max="9" width="10.77734375" style="0" customWidth="1"/>
    <col min="10" max="10" width="12.77734375" style="0" customWidth="1"/>
    <col min="11" max="11" width="9.77734375" style="0" customWidth="1"/>
    <col min="12" max="12" width="10.77734375" style="0" customWidth="1"/>
    <col min="13" max="14" width="9.77734375" style="0" customWidth="1"/>
    <col min="15" max="15" width="15.77734375" style="0" customWidth="1"/>
    <col min="16" max="17" width="9.77734375" style="0" customWidth="1"/>
    <col min="18" max="18" width="15.77734375" style="0" customWidth="1"/>
    <col min="19" max="20" width="9.77734375" style="0" customWidth="1"/>
    <col min="21" max="21" width="15.77734375" style="0" customWidth="1"/>
    <col min="22" max="23" width="9.77734375" style="0" customWidth="1"/>
    <col min="24" max="24" width="15.77734375" style="0" customWidth="1"/>
    <col min="25" max="26" width="9.77734375" style="0" customWidth="1"/>
    <col min="27" max="27" width="15.77734375" style="0" customWidth="1"/>
    <col min="28" max="29" width="9.77734375" style="0" customWidth="1"/>
    <col min="30" max="31" width="15.77734375" style="0" customWidth="1"/>
    <col min="32" max="34" width="9.77734375" style="0" customWidth="1"/>
    <col min="35" max="35" width="15.77734375" style="0" customWidth="1"/>
    <col min="36" max="37" width="9.77734375" style="0" customWidth="1"/>
    <col min="38" max="38" width="15.77734375" style="0" customWidth="1"/>
    <col min="39" max="39" width="9.77734375" style="0" customWidth="1"/>
    <col min="40" max="40" width="15.77734375" style="0" customWidth="1"/>
    <col min="41" max="43" width="9.77734375" style="0" customWidth="1"/>
    <col min="44" max="47" width="15.77734375" style="0" customWidth="1"/>
    <col min="48" max="49" width="9.77734375" style="0" customWidth="1"/>
    <col min="50" max="50" width="15.77734375" style="0" customWidth="1"/>
    <col min="51" max="52" width="9.77734375" style="0" customWidth="1"/>
    <col min="53" max="53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124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-0.003641197</v>
      </c>
      <c r="H3">
        <f>G3*$B$5</f>
        <v>0</v>
      </c>
      <c r="I3">
        <f>G3*$C$5</f>
        <v>0</v>
      </c>
      <c r="J3">
        <v>-0.003626</v>
      </c>
      <c r="K3">
        <f aca="true" t="shared" si="0" ref="K3:K9">J3*$B5</f>
        <v>0</v>
      </c>
      <c r="L3">
        <f aca="true" t="shared" si="1" ref="L3:L9">J3*$C5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0.0005218758</v>
      </c>
      <c r="H4">
        <f>G4*$B$6</f>
        <v>0.1769158962</v>
      </c>
      <c r="I4">
        <f>G4*$C$6</f>
        <v>0.1769158962</v>
      </c>
      <c r="J4">
        <v>-5.4E-05</v>
      </c>
      <c r="K4">
        <f t="shared" si="0"/>
        <v>-0.018306</v>
      </c>
      <c r="L4">
        <f t="shared" si="1"/>
        <v>-0.018306</v>
      </c>
    </row>
    <row r="5" spans="1:12" ht="15.75">
      <c r="A5" s="2" t="s">
        <v>76</v>
      </c>
      <c r="B5" s="2">
        <f>A!$P$12</f>
        <v>0</v>
      </c>
      <c r="C5" s="2">
        <f>A!$Q$12</f>
        <v>0</v>
      </c>
      <c r="D5" s="2"/>
      <c r="E5" s="2"/>
      <c r="F5" t="s">
        <v>114</v>
      </c>
      <c r="G5">
        <v>0.02897486</v>
      </c>
      <c r="H5">
        <f>G5*$B$7</f>
        <v>0.252081282</v>
      </c>
      <c r="I5">
        <f>G5*$C$7</f>
        <v>0.252081282</v>
      </c>
      <c r="J5">
        <v>0.043295</v>
      </c>
      <c r="K5">
        <f t="shared" si="0"/>
        <v>0.37666649999999996</v>
      </c>
      <c r="L5">
        <f t="shared" si="1"/>
        <v>0.37666649999999996</v>
      </c>
    </row>
    <row r="6" spans="1:12" ht="15.75">
      <c r="A6" s="2" t="s">
        <v>44</v>
      </c>
      <c r="B6" s="2">
        <f>A!$B$8</f>
        <v>339</v>
      </c>
      <c r="C6" s="2">
        <f>A!$D$8</f>
        <v>339</v>
      </c>
      <c r="D6" s="2"/>
      <c r="E6" s="2"/>
      <c r="F6" t="s">
        <v>32</v>
      </c>
      <c r="G6" s="7">
        <v>-0.01447025</v>
      </c>
      <c r="H6">
        <f>G6*$B$8</f>
        <v>-0.5932802500000001</v>
      </c>
      <c r="I6">
        <f>G6*$C$8</f>
        <v>-0.5932802500000001</v>
      </c>
      <c r="J6">
        <v>-0.0135038636004</v>
      </c>
      <c r="K6">
        <f t="shared" si="0"/>
        <v>-0.5536584076164001</v>
      </c>
      <c r="L6">
        <f t="shared" si="1"/>
        <v>-0.5536584076164001</v>
      </c>
    </row>
    <row r="7" spans="1:12" ht="15.75">
      <c r="A7" s="2" t="s">
        <v>48</v>
      </c>
      <c r="B7" s="2">
        <f>A!$B$9</f>
        <v>8.7</v>
      </c>
      <c r="C7" s="2">
        <f>A!$D$9</f>
        <v>8.7</v>
      </c>
      <c r="D7" s="2"/>
      <c r="E7" s="2"/>
      <c r="F7" t="s">
        <v>43</v>
      </c>
      <c r="G7" s="7">
        <v>-0.06862424</v>
      </c>
      <c r="H7">
        <f>G7*$B$9</f>
        <v>-5.695811920000001</v>
      </c>
      <c r="I7">
        <f>G7*$C$9</f>
        <v>-5.695811920000001</v>
      </c>
      <c r="J7">
        <v>-0.0623273649147</v>
      </c>
      <c r="K7">
        <f t="shared" si="0"/>
        <v>-5.1731712879201</v>
      </c>
      <c r="L7">
        <f t="shared" si="1"/>
        <v>-5.1731712879201</v>
      </c>
    </row>
    <row r="8" spans="1:12" ht="15.75">
      <c r="A8" s="2" t="s">
        <v>52</v>
      </c>
      <c r="B8" s="2">
        <f>IF(A!$B$10&lt;A!$W$5,A!$W$5,IF(A!$B$10&gt;A!$W$6,A!$W$6,A!$B$10))</f>
        <v>41</v>
      </c>
      <c r="C8" s="2">
        <f>IF(A!$D$10&lt;A!$W$5,A!$W$5,IF(A!$D$10&gt;A!$W$6,A!$W$6,A!$D$10))</f>
        <v>41</v>
      </c>
      <c r="D8" s="2"/>
      <c r="E8" s="2"/>
      <c r="F8" t="s">
        <v>129</v>
      </c>
      <c r="G8" s="7">
        <v>0.032371225</v>
      </c>
      <c r="H8">
        <f>G8*$B$10</f>
        <v>1.0358792</v>
      </c>
      <c r="I8">
        <f>G8*$C$10</f>
        <v>1.0358792</v>
      </c>
      <c r="J8">
        <v>0.0282042087973</v>
      </c>
      <c r="K8">
        <f t="shared" si="0"/>
        <v>0.9025346815136</v>
      </c>
      <c r="L8">
        <f t="shared" si="1"/>
        <v>0.9025346815136</v>
      </c>
    </row>
    <row r="9" spans="1:12" ht="15.75">
      <c r="A9" s="2" t="s">
        <v>56</v>
      </c>
      <c r="B9" s="2">
        <f>IF(A!$B$11&lt;A!$W$7,A!$W$7,IF(A!$B$11&gt;A!$W$8,A!$W$8,A!$B$11))</f>
        <v>83</v>
      </c>
      <c r="C9" s="2">
        <f>IF(A!$P$18&lt;A!$W$7,A!$W$7,IF(A!$P$18&gt;A!$W$8,A!$W$8,A!$P$18))</f>
        <v>83</v>
      </c>
      <c r="D9" s="2"/>
      <c r="E9" s="2"/>
      <c r="F9" t="s">
        <v>130</v>
      </c>
      <c r="G9" s="7">
        <v>-0.00285826</v>
      </c>
      <c r="H9">
        <f>G9*$B$11</f>
        <v>-0.026295991999999997</v>
      </c>
      <c r="I9">
        <f>G9*$C$11</f>
        <v>-0.026295991999999997</v>
      </c>
      <c r="J9">
        <v>-0.002858</v>
      </c>
      <c r="K9">
        <f t="shared" si="0"/>
        <v>-0.026293599999999997</v>
      </c>
      <c r="L9">
        <f t="shared" si="1"/>
        <v>-0.026293599999999997</v>
      </c>
    </row>
    <row r="10" spans="1:12" ht="15.75">
      <c r="A10" s="2" t="s">
        <v>62</v>
      </c>
      <c r="B10" s="2">
        <f>IF(A!$B$12&lt;A!$W$9,A!$W$9,IF(A!$B$12&gt;A!$W$10,A!$W$10,A!$B$12))</f>
        <v>32</v>
      </c>
      <c r="C10" s="2">
        <f>IF(A!$P$19&lt;A!$W$9,A!$W$9,IF(A!$P$19&gt;A!$W$10,A!$W$10,A!$P$19))</f>
        <v>32</v>
      </c>
      <c r="D10" s="2"/>
      <c r="E10" s="2"/>
      <c r="F10" t="s">
        <v>131</v>
      </c>
      <c r="G10" s="7">
        <v>0.0001072027</v>
      </c>
      <c r="H10" s="7">
        <f>G10*$B$8^2</f>
        <v>0.1802077387</v>
      </c>
      <c r="I10" s="7">
        <f>G10*$C$8^2</f>
        <v>0.1802077387</v>
      </c>
      <c r="J10">
        <v>0.000106</v>
      </c>
      <c r="K10" s="7">
        <f>J10*$B8^2</f>
        <v>0.178186</v>
      </c>
      <c r="L10" s="7">
        <f>J10*$C8^2</f>
        <v>0.178186</v>
      </c>
    </row>
    <row r="11" spans="1:12" ht="15.75">
      <c r="A11" s="2" t="s">
        <v>65</v>
      </c>
      <c r="B11" s="2">
        <f>A!$B$13</f>
        <v>9.2</v>
      </c>
      <c r="C11" s="2">
        <f>A!$D$13</f>
        <v>9.2</v>
      </c>
      <c r="D11" s="2"/>
      <c r="E11" s="2"/>
      <c r="F11" t="s">
        <v>132</v>
      </c>
      <c r="G11" s="7">
        <v>0.0004087064</v>
      </c>
      <c r="H11" s="7">
        <f>G11*$B$9^2</f>
        <v>2.8155783895999997</v>
      </c>
      <c r="I11" s="7">
        <f>G11*$C$9^2</f>
        <v>2.8155783895999997</v>
      </c>
      <c r="J11">
        <v>0.000408</v>
      </c>
      <c r="K11" s="7">
        <f>J11*$B9^2</f>
        <v>2.810712</v>
      </c>
      <c r="L11" s="7">
        <f>J11*$C9^2</f>
        <v>2.810712</v>
      </c>
    </row>
    <row r="12" spans="1:12" ht="15.75">
      <c r="A12" s="2" t="s">
        <v>133</v>
      </c>
      <c r="B12" s="2">
        <f>A!$B$14</f>
        <v>1.53</v>
      </c>
      <c r="C12" s="2">
        <f>A!$D$14</f>
        <v>1.53</v>
      </c>
      <c r="D12" s="2"/>
      <c r="E12" s="2"/>
      <c r="F12" t="s">
        <v>134</v>
      </c>
      <c r="G12" s="7">
        <v>-0.0003480613</v>
      </c>
      <c r="H12" s="7">
        <f>G12*$B$10*$B$9</f>
        <v>-0.9244508128</v>
      </c>
      <c r="I12" s="7">
        <f>G12*$C$10*$C$9</f>
        <v>-0.9244508128</v>
      </c>
      <c r="J12">
        <v>-0.000287</v>
      </c>
      <c r="K12" s="7">
        <f>J12*$B10*$B9</f>
        <v>-0.762272</v>
      </c>
      <c r="L12" s="7">
        <f>J12*$C10*$C9</f>
        <v>-0.762272</v>
      </c>
    </row>
    <row r="13" spans="1:12" ht="15.75">
      <c r="A13" s="2"/>
      <c r="B13" s="2"/>
      <c r="C13" s="2"/>
      <c r="D13" s="2" t="s">
        <v>135</v>
      </c>
      <c r="E13" s="2"/>
      <c r="G13" s="7"/>
      <c r="H13" s="7"/>
      <c r="I13" s="7"/>
      <c r="K13" s="7"/>
      <c r="L13" s="7"/>
    </row>
    <row r="14" spans="1:12" ht="15.75">
      <c r="A14" s="2" t="s">
        <v>136</v>
      </c>
      <c r="B14" s="2"/>
      <c r="C14" s="2"/>
      <c r="D14" s="2">
        <f>H19</f>
        <v>0</v>
      </c>
      <c r="E14" s="2"/>
      <c r="F14" t="s">
        <v>137</v>
      </c>
      <c r="G14" s="7"/>
      <c r="H14" s="7">
        <f>SUM(H3:H12)</f>
        <v>-2.7791764683</v>
      </c>
      <c r="I14" s="7">
        <f>SUM(I3:I12)</f>
        <v>-2.7791764683</v>
      </c>
      <c r="K14" s="7">
        <f>SUM(K3:K12)</f>
        <v>-2.265602114022899</v>
      </c>
      <c r="L14" s="7">
        <f>SUM(L3:L12)</f>
        <v>-2.265602114022899</v>
      </c>
    </row>
    <row r="15" spans="1:12" ht="15.75">
      <c r="A15" s="2" t="s">
        <v>138</v>
      </c>
      <c r="B15" s="2">
        <f>A!B$17/1000</f>
        <v>0.907</v>
      </c>
      <c r="C15" s="2">
        <f>B15+B15*D15/100</f>
        <v>0.907</v>
      </c>
      <c r="D15" s="2">
        <f>H21</f>
        <v>0</v>
      </c>
      <c r="E15" s="2"/>
      <c r="F15" t="s">
        <v>139</v>
      </c>
      <c r="G15" s="7"/>
      <c r="H15" s="7">
        <f>EXP(H14)</f>
        <v>0.06208961909797664</v>
      </c>
      <c r="I15" s="7">
        <f>EXP(I14)</f>
        <v>0.06208961909797664</v>
      </c>
      <c r="K15" s="7">
        <f>EXP(K14)</f>
        <v>0.10376753583856255</v>
      </c>
      <c r="L15" s="7">
        <f>EXP(L14)</f>
        <v>0.10376753583856255</v>
      </c>
    </row>
    <row r="16" spans="1:12" ht="15.75">
      <c r="A16" s="2" t="s">
        <v>140</v>
      </c>
      <c r="B16" s="2"/>
      <c r="C16" s="2"/>
      <c r="D16" s="2">
        <f>K19</f>
        <v>0</v>
      </c>
      <c r="E16" s="2"/>
      <c r="G16" s="7"/>
      <c r="H16" s="7"/>
      <c r="I16" s="7"/>
      <c r="K16" s="7"/>
      <c r="L16" s="7"/>
    </row>
    <row r="17" spans="1:12" ht="15.75">
      <c r="A17" s="2"/>
      <c r="B17" s="2"/>
      <c r="C17" s="2"/>
      <c r="D17" s="2"/>
      <c r="E17" s="2"/>
      <c r="F17" t="s">
        <v>141</v>
      </c>
      <c r="G17" s="7"/>
      <c r="H17" s="7">
        <f>A!K10</f>
        <v>0.444</v>
      </c>
      <c r="I17" s="7"/>
      <c r="K17" s="7">
        <f>A!L10</f>
        <v>0.556</v>
      </c>
      <c r="L17" s="7"/>
    </row>
    <row r="18" spans="1:12" ht="15.75">
      <c r="A18" s="12" t="s">
        <v>125</v>
      </c>
      <c r="B18" s="12" t="s">
        <v>125</v>
      </c>
      <c r="C18" s="12" t="s">
        <v>125</v>
      </c>
      <c r="D18" s="2"/>
      <c r="E18" s="2"/>
      <c r="G18" s="7"/>
      <c r="H18" s="7"/>
      <c r="I18" s="7"/>
      <c r="K18" s="7"/>
      <c r="L18" s="7"/>
    </row>
    <row r="19" spans="1:12" ht="15.75">
      <c r="A19" s="2"/>
      <c r="B19" s="2"/>
      <c r="C19" s="2"/>
      <c r="D19" s="2"/>
      <c r="E19" s="2"/>
      <c r="F19" t="s">
        <v>142</v>
      </c>
      <c r="G19" s="7"/>
      <c r="H19" s="7">
        <f>(I15/H15-1)*100</f>
        <v>0</v>
      </c>
      <c r="I19" s="7"/>
      <c r="K19" s="7">
        <f>(L15/K15-1)*100</f>
        <v>0</v>
      </c>
      <c r="L19" s="7"/>
    </row>
    <row r="20" spans="1:12" ht="15.75">
      <c r="A20" s="2"/>
      <c r="B20" s="2"/>
      <c r="C20" s="2"/>
      <c r="D20" s="2"/>
      <c r="E20" s="2"/>
      <c r="G20" s="7"/>
      <c r="H20" s="7"/>
      <c r="I20" s="7"/>
      <c r="K20" s="7"/>
      <c r="L20" s="7"/>
    </row>
    <row r="21" spans="6:12" ht="15.75">
      <c r="F21" t="s">
        <v>143</v>
      </c>
      <c r="G21" s="7"/>
      <c r="H21" s="7">
        <f>H19*H17+K19*K17</f>
        <v>0</v>
      </c>
      <c r="I21" s="7"/>
      <c r="K21" s="7"/>
      <c r="L21" s="7"/>
    </row>
    <row r="22" ht="15.75">
      <c r="A22" s="2"/>
    </row>
    <row r="24" ht="15.75">
      <c r="F24" t="s">
        <v>144</v>
      </c>
    </row>
    <row r="25" ht="15.75">
      <c r="AS25" s="16"/>
    </row>
    <row r="26" spans="7:45" ht="15.75">
      <c r="G26" t="s">
        <v>145</v>
      </c>
      <c r="H26" s="7"/>
      <c r="J26" t="s">
        <v>146</v>
      </c>
      <c r="AS26" s="37"/>
    </row>
    <row r="27" spans="6:10" ht="15.75">
      <c r="F27" t="s">
        <v>32</v>
      </c>
      <c r="G27">
        <f>(2*G10*$C8+G6)*100*I15/H15</f>
        <v>-0.56796286</v>
      </c>
      <c r="H27" s="7"/>
      <c r="J27">
        <f>(2*J10*$C8+J6)*100*L15/K15</f>
        <v>-0.48118636004000004</v>
      </c>
    </row>
    <row r="28" spans="6:10" ht="15.75">
      <c r="F28" t="s">
        <v>43</v>
      </c>
      <c r="G28">
        <f>(2*G11*$C9+G7+G12*$C10)*100*I15/H15</f>
        <v>-1.1916939200000007</v>
      </c>
      <c r="H28" s="7"/>
      <c r="J28">
        <f>(2*J11*$C9+J7+J12*$C10)*100*L15/K15</f>
        <v>-0.37833649147000026</v>
      </c>
    </row>
    <row r="29" spans="6:10" ht="15.75">
      <c r="F29" t="s">
        <v>49</v>
      </c>
      <c r="G29">
        <f>(G12*$C9+G8)*100*I15/H15</f>
        <v>0.34821371000000045</v>
      </c>
      <c r="H29" s="7"/>
      <c r="J29">
        <f>(J12*$C9+J8)*100*L15/K15</f>
        <v>0.43832087972999995</v>
      </c>
    </row>
    <row r="30" ht="15.75">
      <c r="H30" s="7"/>
    </row>
    <row r="31" ht="15.75">
      <c r="H31" s="7"/>
    </row>
    <row r="32" ht="15.75">
      <c r="H32" s="7"/>
    </row>
    <row r="33" ht="15.75">
      <c r="H33" s="7"/>
    </row>
    <row r="34" ht="15.75">
      <c r="H34" s="7"/>
    </row>
    <row r="35" ht="15.75">
      <c r="H35" s="7"/>
    </row>
    <row r="36" ht="15.75">
      <c r="H36" s="7"/>
    </row>
    <row r="37" ht="15.75">
      <c r="H37" s="7"/>
    </row>
    <row r="38" ht="15.75">
      <c r="H38" s="7"/>
    </row>
    <row r="39" ht="15.75">
      <c r="H39" s="7"/>
    </row>
    <row r="40" ht="15.75">
      <c r="H40" s="7"/>
    </row>
    <row r="41" spans="2:8" ht="15.75">
      <c r="B41" s="7"/>
      <c r="C41" s="7"/>
      <c r="D41" s="7"/>
      <c r="H41" s="7"/>
    </row>
    <row r="42" spans="2:8" ht="15.75">
      <c r="B42" s="7"/>
      <c r="C42" s="7"/>
      <c r="D42" s="7"/>
      <c r="F42" s="7"/>
      <c r="G42" s="7"/>
      <c r="H42" s="7"/>
    </row>
    <row r="43" spans="3:8" ht="15.75">
      <c r="C43" s="7"/>
      <c r="D43" s="7"/>
      <c r="F43" s="7"/>
      <c r="G43" s="7"/>
      <c r="H43" s="7"/>
    </row>
    <row r="44" spans="6:8" ht="15.75">
      <c r="F44" s="7"/>
      <c r="G44" s="7"/>
      <c r="H44" s="7"/>
    </row>
    <row r="45" spans="6:8" ht="15.75">
      <c r="F45" s="7"/>
      <c r="G45" s="7"/>
      <c r="H45" s="7"/>
    </row>
    <row r="46" spans="6:8" ht="15.75">
      <c r="F46" s="7"/>
      <c r="G46" s="7"/>
      <c r="H46" s="7"/>
    </row>
    <row r="47" spans="2:8" ht="15.75">
      <c r="B47" s="7"/>
      <c r="F47" s="7"/>
      <c r="G47" s="7"/>
      <c r="H47" s="7"/>
    </row>
    <row r="48" spans="2:8" ht="15.75">
      <c r="B48" s="7"/>
      <c r="F48" s="7"/>
      <c r="G48" s="7"/>
      <c r="H48" s="7"/>
    </row>
    <row r="49" spans="2:8" ht="15.75">
      <c r="B49" s="7"/>
      <c r="F49" s="7"/>
      <c r="G49" s="7"/>
      <c r="H49" s="7"/>
    </row>
    <row r="50" spans="2:8" ht="15.75">
      <c r="B50" s="7"/>
      <c r="F50" s="7"/>
      <c r="G50" s="7"/>
      <c r="H50" s="7"/>
    </row>
    <row r="51" spans="2:8" ht="15.75">
      <c r="B51" s="7"/>
      <c r="C51" s="7"/>
      <c r="D51" s="7"/>
      <c r="F51" s="7"/>
      <c r="G51" s="7"/>
      <c r="H51" s="7"/>
    </row>
    <row r="52" spans="2:8" ht="15.75">
      <c r="B52" s="7"/>
      <c r="C52" s="7"/>
      <c r="D52" s="7"/>
      <c r="F52" s="7"/>
      <c r="G52" s="7"/>
      <c r="H52" s="7"/>
    </row>
    <row r="53" spans="2:8" ht="15.75">
      <c r="B53" s="7"/>
      <c r="C53" s="7"/>
      <c r="D53" s="7"/>
      <c r="F53" s="7"/>
      <c r="G53" s="7"/>
      <c r="H53" s="7"/>
    </row>
    <row r="54" spans="2:8" ht="15.75">
      <c r="B54" s="7"/>
      <c r="C54" s="7"/>
      <c r="D54" s="7"/>
      <c r="F54" s="7"/>
      <c r="G54" s="7"/>
      <c r="H54" s="7"/>
    </row>
    <row r="55" spans="2:8" ht="15.75">
      <c r="B55" s="7"/>
      <c r="C55" s="7"/>
      <c r="D55" s="7"/>
      <c r="F55" s="7"/>
      <c r="G55" s="7"/>
      <c r="H55" s="7"/>
    </row>
    <row r="56" spans="2:4" ht="15.75">
      <c r="B56" s="7"/>
      <c r="C56" s="7"/>
      <c r="D56" s="7"/>
    </row>
    <row r="57" spans="2:4" ht="15.75">
      <c r="B57" s="7"/>
      <c r="C57" s="7"/>
      <c r="D57" s="7"/>
    </row>
    <row r="58" spans="2:4" ht="15.75">
      <c r="B58" s="7"/>
      <c r="C58" s="7"/>
      <c r="D58" s="7"/>
    </row>
    <row r="59" spans="2:4" ht="15.75">
      <c r="B59" s="7"/>
      <c r="C59" s="7"/>
      <c r="D59" s="7"/>
    </row>
    <row r="60" spans="2:4" ht="15.75">
      <c r="B60" s="7"/>
      <c r="C60" s="7"/>
      <c r="D60" s="7"/>
    </row>
    <row r="61" spans="2:4" ht="15.75">
      <c r="B61" s="7"/>
      <c r="C61" s="7"/>
      <c r="D61" s="7"/>
    </row>
    <row r="62" spans="2:4" ht="15.75">
      <c r="B62" s="7"/>
      <c r="C62" s="7"/>
      <c r="D62" s="7"/>
    </row>
    <row r="80" spans="5:44" ht="15.75">
      <c r="E80" s="8"/>
      <c r="I80" s="8"/>
      <c r="M80" s="8"/>
      <c r="Q80" s="8"/>
      <c r="U80" s="8"/>
      <c r="Y80" s="8"/>
      <c r="AC80" s="8"/>
      <c r="AF80" s="8"/>
      <c r="AK80" s="8"/>
      <c r="AN80" s="8"/>
      <c r="AR80" s="8"/>
    </row>
    <row r="92" spans="9:49" ht="15.75">
      <c r="I92" s="7"/>
      <c r="J92" s="7"/>
      <c r="K92" s="7"/>
      <c r="L92" s="7"/>
      <c r="N92" s="7"/>
      <c r="O92" s="7"/>
      <c r="P92" s="7"/>
      <c r="R92" s="7"/>
      <c r="S92" s="7"/>
      <c r="T92" s="7"/>
      <c r="V92" s="7"/>
      <c r="W92" s="7"/>
      <c r="X92" s="7"/>
      <c r="Z92" s="7"/>
      <c r="AA92" s="7"/>
      <c r="AB92" s="7"/>
      <c r="AD92" s="7"/>
      <c r="AE92" s="7"/>
      <c r="AF92" s="7"/>
      <c r="AH92" s="7"/>
      <c r="AI92" s="7"/>
      <c r="AJ92" s="7"/>
      <c r="AL92" s="7"/>
      <c r="AM92" s="7"/>
      <c r="AP92" s="7"/>
      <c r="AQ92" s="7"/>
      <c r="AR92" s="2"/>
      <c r="AS92" s="2"/>
      <c r="AT92" s="2"/>
      <c r="AU92" s="2"/>
      <c r="AV92" s="2"/>
      <c r="AW92" s="2"/>
    </row>
    <row r="93" spans="9:49" ht="15.75">
      <c r="I93" s="7"/>
      <c r="J93" s="7"/>
      <c r="K93" s="7"/>
      <c r="L93" s="7"/>
      <c r="N93" s="7"/>
      <c r="O93" s="7"/>
      <c r="P93" s="7"/>
      <c r="R93" s="7"/>
      <c r="S93" s="7"/>
      <c r="T93" s="7"/>
      <c r="V93" s="7"/>
      <c r="W93" s="7"/>
      <c r="X93" s="7"/>
      <c r="Z93" s="7"/>
      <c r="AA93" s="7"/>
      <c r="AB93" s="7"/>
      <c r="AD93" s="7"/>
      <c r="AE93" s="7"/>
      <c r="AF93" s="7"/>
      <c r="AH93" s="7"/>
      <c r="AI93" s="7"/>
      <c r="AJ93" s="7"/>
      <c r="AL93" s="7"/>
      <c r="AM93" s="7"/>
      <c r="AP93" s="7"/>
      <c r="AQ93" s="7"/>
      <c r="AR93" s="2"/>
      <c r="AS93" s="2"/>
      <c r="AT93" s="2"/>
      <c r="AU93" s="2"/>
      <c r="AV93" s="2"/>
      <c r="AW93" s="2"/>
    </row>
    <row r="94" spans="9:49" ht="15.75">
      <c r="I94" s="7"/>
      <c r="J94" s="7"/>
      <c r="K94" s="7"/>
      <c r="L94" s="7"/>
      <c r="N94" s="7"/>
      <c r="O94" s="7"/>
      <c r="P94" s="7"/>
      <c r="R94" s="7"/>
      <c r="S94" s="7"/>
      <c r="T94" s="7"/>
      <c r="V94" s="7"/>
      <c r="W94" s="7"/>
      <c r="X94" s="7"/>
      <c r="Z94" s="7"/>
      <c r="AA94" s="7"/>
      <c r="AB94" s="7"/>
      <c r="AD94" s="7"/>
      <c r="AE94" s="7"/>
      <c r="AF94" s="7"/>
      <c r="AH94" s="7"/>
      <c r="AI94" s="7"/>
      <c r="AJ94" s="7"/>
      <c r="AL94" s="7"/>
      <c r="AM94" s="7"/>
      <c r="AP94" s="7"/>
      <c r="AQ94" s="7"/>
      <c r="AR94" s="2"/>
      <c r="AS94" s="2"/>
      <c r="AT94" s="2"/>
      <c r="AU94" s="2"/>
      <c r="AV94" s="2"/>
      <c r="AW94" s="2"/>
    </row>
    <row r="95" spans="9:49" ht="15.75">
      <c r="I95" s="7"/>
      <c r="J95" s="7"/>
      <c r="K95" s="7"/>
      <c r="L95" s="7"/>
      <c r="N95" s="7"/>
      <c r="O95" s="7"/>
      <c r="P95" s="7"/>
      <c r="R95" s="7"/>
      <c r="S95" s="7"/>
      <c r="T95" s="7"/>
      <c r="V95" s="7"/>
      <c r="W95" s="7"/>
      <c r="X95" s="7"/>
      <c r="Z95" s="7"/>
      <c r="AA95" s="7"/>
      <c r="AB95" s="7"/>
      <c r="AD95" s="7"/>
      <c r="AE95" s="7"/>
      <c r="AF95" s="7"/>
      <c r="AH95" s="7"/>
      <c r="AI95" s="7"/>
      <c r="AJ95" s="7"/>
      <c r="AL95" s="7"/>
      <c r="AM95" s="7"/>
      <c r="AP95" s="7"/>
      <c r="AQ95" s="7"/>
      <c r="AR95" s="2"/>
      <c r="AS95" s="2"/>
      <c r="AT95" s="2"/>
      <c r="AU95" s="2"/>
      <c r="AV95" s="2"/>
      <c r="AW95" s="2"/>
    </row>
    <row r="96" spans="9:49" ht="15.75">
      <c r="I96" s="7"/>
      <c r="J96" s="7"/>
      <c r="K96" s="7"/>
      <c r="L96" s="7"/>
      <c r="N96" s="7"/>
      <c r="O96" s="7"/>
      <c r="P96" s="7"/>
      <c r="R96" s="7"/>
      <c r="S96" s="7"/>
      <c r="T96" s="7"/>
      <c r="V96" s="7"/>
      <c r="W96" s="7"/>
      <c r="X96" s="7"/>
      <c r="Z96" s="7"/>
      <c r="AA96" s="7"/>
      <c r="AB96" s="7"/>
      <c r="AD96" s="7"/>
      <c r="AE96" s="7"/>
      <c r="AF96" s="7"/>
      <c r="AH96" s="7"/>
      <c r="AI96" s="7"/>
      <c r="AJ96" s="7"/>
      <c r="AL96" s="7"/>
      <c r="AM96" s="7"/>
      <c r="AP96" s="7"/>
      <c r="AQ96" s="7"/>
      <c r="AR96" s="2"/>
      <c r="AS96" s="2"/>
      <c r="AT96" s="2"/>
      <c r="AU96" s="2"/>
      <c r="AV96" s="2"/>
      <c r="AW96" s="2"/>
    </row>
    <row r="97" spans="9:49" ht="15.75">
      <c r="I97" s="7"/>
      <c r="J97" s="7"/>
      <c r="K97" s="7"/>
      <c r="L97" s="7"/>
      <c r="N97" s="7"/>
      <c r="O97" s="7"/>
      <c r="P97" s="7"/>
      <c r="R97" s="7"/>
      <c r="S97" s="7"/>
      <c r="T97" s="7"/>
      <c r="V97" s="7"/>
      <c r="W97" s="7"/>
      <c r="X97" s="7"/>
      <c r="Z97" s="7"/>
      <c r="AA97" s="7"/>
      <c r="AB97" s="7"/>
      <c r="AD97" s="7"/>
      <c r="AE97" s="7"/>
      <c r="AF97" s="7"/>
      <c r="AH97" s="7"/>
      <c r="AI97" s="7"/>
      <c r="AJ97" s="7"/>
      <c r="AL97" s="7"/>
      <c r="AM97" s="7"/>
      <c r="AP97" s="7"/>
      <c r="AQ97" s="7"/>
      <c r="AR97" s="2"/>
      <c r="AS97" s="2"/>
      <c r="AT97" s="2"/>
      <c r="AU97" s="2"/>
      <c r="AV97" s="2"/>
      <c r="AW97" s="2"/>
    </row>
    <row r="98" spans="9:49" ht="15.75">
      <c r="I98" s="7"/>
      <c r="J98" s="7"/>
      <c r="K98" s="7"/>
      <c r="L98" s="7"/>
      <c r="N98" s="7"/>
      <c r="O98" s="7"/>
      <c r="P98" s="7"/>
      <c r="R98" s="7"/>
      <c r="S98" s="7"/>
      <c r="T98" s="7"/>
      <c r="V98" s="7"/>
      <c r="W98" s="7"/>
      <c r="X98" s="7"/>
      <c r="Z98" s="7"/>
      <c r="AA98" s="7"/>
      <c r="AB98" s="7"/>
      <c r="AD98" s="7"/>
      <c r="AE98" s="7"/>
      <c r="AF98" s="7"/>
      <c r="AH98" s="7"/>
      <c r="AI98" s="7"/>
      <c r="AJ98" s="7"/>
      <c r="AL98" s="7"/>
      <c r="AM98" s="7"/>
      <c r="AP98" s="7"/>
      <c r="AQ98" s="7"/>
      <c r="AR98" s="2"/>
      <c r="AS98" s="2"/>
      <c r="AT98" s="2"/>
      <c r="AU98" s="2"/>
      <c r="AV98" s="2"/>
      <c r="AW98" s="2"/>
    </row>
    <row r="99" spans="9:49" ht="15.75">
      <c r="I99" s="7"/>
      <c r="J99" s="7"/>
      <c r="K99" s="7"/>
      <c r="L99" s="7"/>
      <c r="N99" s="7"/>
      <c r="O99" s="7"/>
      <c r="P99" s="7"/>
      <c r="R99" s="7"/>
      <c r="S99" s="7"/>
      <c r="T99" s="7"/>
      <c r="V99" s="7"/>
      <c r="W99" s="7"/>
      <c r="X99" s="7"/>
      <c r="Z99" s="7"/>
      <c r="AA99" s="7"/>
      <c r="AB99" s="7"/>
      <c r="AD99" s="7"/>
      <c r="AE99" s="7"/>
      <c r="AF99" s="7"/>
      <c r="AH99" s="7"/>
      <c r="AI99" s="7"/>
      <c r="AJ99" s="7"/>
      <c r="AL99" s="7"/>
      <c r="AM99" s="7"/>
      <c r="AP99" s="7"/>
      <c r="AQ99" s="7"/>
      <c r="AR99" s="2"/>
      <c r="AS99" s="2"/>
      <c r="AT99" s="2"/>
      <c r="AU99" s="2"/>
      <c r="AV99" s="2"/>
      <c r="AW99" s="2"/>
    </row>
    <row r="100" spans="9:49" ht="15.75">
      <c r="I100" s="7"/>
      <c r="J100" s="7"/>
      <c r="K100" s="7"/>
      <c r="L100" s="7"/>
      <c r="N100" s="7"/>
      <c r="O100" s="7"/>
      <c r="P100" s="7"/>
      <c r="R100" s="7"/>
      <c r="S100" s="7"/>
      <c r="T100" s="7"/>
      <c r="V100" s="7"/>
      <c r="W100" s="7"/>
      <c r="X100" s="7"/>
      <c r="Z100" s="7"/>
      <c r="AA100" s="7"/>
      <c r="AB100" s="7"/>
      <c r="AD100" s="7"/>
      <c r="AE100" s="7"/>
      <c r="AF100" s="7"/>
      <c r="AH100" s="7"/>
      <c r="AI100" s="7"/>
      <c r="AJ100" s="7"/>
      <c r="AL100" s="7"/>
      <c r="AM100" s="7"/>
      <c r="AP100" s="7"/>
      <c r="AQ100" s="7"/>
      <c r="AR100" s="2"/>
      <c r="AS100" s="2"/>
      <c r="AT100" s="2"/>
      <c r="AU100" s="2"/>
      <c r="AV100" s="2"/>
      <c r="AW100" s="2"/>
    </row>
    <row r="101" spans="9:49" ht="15.75">
      <c r="I101" s="7"/>
      <c r="J101" s="7"/>
      <c r="K101" s="7"/>
      <c r="L101" s="7"/>
      <c r="N101" s="7"/>
      <c r="O101" s="7"/>
      <c r="P101" s="7"/>
      <c r="R101" s="7"/>
      <c r="S101" s="7"/>
      <c r="T101" s="7"/>
      <c r="V101" s="7"/>
      <c r="W101" s="7"/>
      <c r="X101" s="7"/>
      <c r="Z101" s="7"/>
      <c r="AA101" s="7"/>
      <c r="AB101" s="7"/>
      <c r="AD101" s="7"/>
      <c r="AE101" s="7"/>
      <c r="AF101" s="7"/>
      <c r="AH101" s="7"/>
      <c r="AI101" s="7"/>
      <c r="AJ101" s="7"/>
      <c r="AL101" s="7"/>
      <c r="AM101" s="7"/>
      <c r="AP101" s="7"/>
      <c r="AQ101" s="7"/>
      <c r="AR101" s="2"/>
      <c r="AS101" s="2"/>
      <c r="AT101" s="2"/>
      <c r="AU101" s="2"/>
      <c r="AV101" s="2"/>
      <c r="AW101" s="2"/>
    </row>
    <row r="102" spans="9:49" ht="15.75">
      <c r="I102" s="7"/>
      <c r="J102" s="7"/>
      <c r="K102" s="7"/>
      <c r="L102" s="7"/>
      <c r="N102" s="7"/>
      <c r="O102" s="7"/>
      <c r="P102" s="7"/>
      <c r="R102" s="7"/>
      <c r="S102" s="7"/>
      <c r="T102" s="7"/>
      <c r="V102" s="7"/>
      <c r="W102" s="7"/>
      <c r="X102" s="7"/>
      <c r="Z102" s="7"/>
      <c r="AA102" s="7"/>
      <c r="AB102" s="7"/>
      <c r="AD102" s="7"/>
      <c r="AE102" s="7"/>
      <c r="AF102" s="7"/>
      <c r="AH102" s="7"/>
      <c r="AI102" s="7"/>
      <c r="AJ102" s="7"/>
      <c r="AL102" s="7"/>
      <c r="AM102" s="7"/>
      <c r="AP102" s="7"/>
      <c r="AQ102" s="7"/>
      <c r="AR102" s="2"/>
      <c r="AS102" s="2"/>
      <c r="AT102" s="2"/>
      <c r="AU102" s="2"/>
      <c r="AV102" s="2"/>
      <c r="AW102" s="2"/>
    </row>
    <row r="103" spans="9:49" ht="15.75">
      <c r="I103" s="7"/>
      <c r="J103" s="7"/>
      <c r="K103" s="7"/>
      <c r="L103" s="7"/>
      <c r="N103" s="7"/>
      <c r="O103" s="7"/>
      <c r="P103" s="7"/>
      <c r="R103" s="7"/>
      <c r="S103" s="7"/>
      <c r="T103" s="7"/>
      <c r="V103" s="7"/>
      <c r="W103" s="7"/>
      <c r="X103" s="7"/>
      <c r="Z103" s="7"/>
      <c r="AA103" s="7"/>
      <c r="AB103" s="7"/>
      <c r="AD103" s="7"/>
      <c r="AE103" s="7"/>
      <c r="AF103" s="7"/>
      <c r="AH103" s="7"/>
      <c r="AI103" s="7"/>
      <c r="AJ103" s="7"/>
      <c r="AL103" s="7"/>
      <c r="AM103" s="7"/>
      <c r="AP103" s="7"/>
      <c r="AQ103" s="7"/>
      <c r="AR103" s="2"/>
      <c r="AS103" s="2"/>
      <c r="AT103" s="2"/>
      <c r="AU103" s="2"/>
      <c r="AV103" s="2"/>
      <c r="AW103" s="2"/>
    </row>
    <row r="104" spans="9:49" ht="15.75">
      <c r="I104" s="7"/>
      <c r="J104" s="7"/>
      <c r="K104" s="7"/>
      <c r="L104" s="7"/>
      <c r="N104" s="7"/>
      <c r="O104" s="7"/>
      <c r="P104" s="7"/>
      <c r="R104" s="7"/>
      <c r="S104" s="7"/>
      <c r="T104" s="7"/>
      <c r="V104" s="7"/>
      <c r="W104" s="7"/>
      <c r="X104" s="7"/>
      <c r="Z104" s="7"/>
      <c r="AA104" s="7"/>
      <c r="AB104" s="7"/>
      <c r="AD104" s="7"/>
      <c r="AE104" s="7"/>
      <c r="AF104" s="7"/>
      <c r="AH104" s="7"/>
      <c r="AI104" s="7"/>
      <c r="AJ104" s="7"/>
      <c r="AL104" s="7"/>
      <c r="AM104" s="7"/>
      <c r="AP104" s="7"/>
      <c r="AQ104" s="7"/>
      <c r="AR104" s="2"/>
      <c r="AS104" s="2"/>
      <c r="AT104" s="2"/>
      <c r="AU104" s="2"/>
      <c r="AV104" s="2"/>
      <c r="AW104" s="2"/>
    </row>
    <row r="105" spans="9:49" ht="15.75">
      <c r="I105" s="7"/>
      <c r="J105" s="7"/>
      <c r="K105" s="7"/>
      <c r="L105" s="7"/>
      <c r="N105" s="7"/>
      <c r="O105" s="7"/>
      <c r="P105" s="7"/>
      <c r="R105" s="7"/>
      <c r="S105" s="7"/>
      <c r="T105" s="7"/>
      <c r="V105" s="7"/>
      <c r="W105" s="7"/>
      <c r="X105" s="7"/>
      <c r="Z105" s="7"/>
      <c r="AA105" s="7"/>
      <c r="AB105" s="7"/>
      <c r="AD105" s="7"/>
      <c r="AE105" s="7"/>
      <c r="AF105" s="7"/>
      <c r="AH105" s="7"/>
      <c r="AI105" s="7"/>
      <c r="AJ105" s="7"/>
      <c r="AL105" s="7"/>
      <c r="AM105" s="7"/>
      <c r="AP105" s="7"/>
      <c r="AQ105" s="7"/>
      <c r="AR105" s="2"/>
      <c r="AS105" s="2"/>
      <c r="AT105" s="2"/>
      <c r="AU105" s="2"/>
      <c r="AV105" s="2"/>
      <c r="AW105" s="2"/>
    </row>
    <row r="106" spans="9:49" ht="15.75">
      <c r="I106" s="7"/>
      <c r="J106" s="7"/>
      <c r="K106" s="7"/>
      <c r="L106" s="7"/>
      <c r="N106" s="7"/>
      <c r="O106" s="7"/>
      <c r="P106" s="7"/>
      <c r="R106" s="7"/>
      <c r="S106" s="7"/>
      <c r="T106" s="7"/>
      <c r="V106" s="7"/>
      <c r="W106" s="7"/>
      <c r="X106" s="7"/>
      <c r="Z106" s="7"/>
      <c r="AA106" s="7"/>
      <c r="AB106" s="7"/>
      <c r="AD106" s="7"/>
      <c r="AE106" s="7"/>
      <c r="AF106" s="7"/>
      <c r="AH106" s="7"/>
      <c r="AI106" s="7"/>
      <c r="AJ106" s="7"/>
      <c r="AL106" s="7"/>
      <c r="AM106" s="7"/>
      <c r="AP106" s="7"/>
      <c r="AQ106" s="7"/>
      <c r="AR106" s="2"/>
      <c r="AS106" s="2"/>
      <c r="AT106" s="2"/>
      <c r="AU106" s="2"/>
      <c r="AV106" s="2"/>
      <c r="AW106" s="2"/>
    </row>
    <row r="107" spans="9:49" ht="15.75">
      <c r="I107" s="7"/>
      <c r="J107" s="7"/>
      <c r="K107" s="7"/>
      <c r="L107" s="7"/>
      <c r="N107" s="7"/>
      <c r="O107" s="7"/>
      <c r="P107" s="7"/>
      <c r="R107" s="7"/>
      <c r="S107" s="7"/>
      <c r="T107" s="7"/>
      <c r="V107" s="7"/>
      <c r="W107" s="7"/>
      <c r="X107" s="7"/>
      <c r="Z107" s="7"/>
      <c r="AA107" s="7"/>
      <c r="AB107" s="7"/>
      <c r="AD107" s="7"/>
      <c r="AE107" s="7"/>
      <c r="AF107" s="7"/>
      <c r="AH107" s="7"/>
      <c r="AI107" s="7"/>
      <c r="AJ107" s="7"/>
      <c r="AL107" s="7"/>
      <c r="AM107" s="7"/>
      <c r="AP107" s="7"/>
      <c r="AQ107" s="7"/>
      <c r="AR107" s="2"/>
      <c r="AS107" s="2"/>
      <c r="AT107" s="2"/>
      <c r="AU107" s="2"/>
      <c r="AV107" s="2"/>
      <c r="AW107" s="2"/>
    </row>
    <row r="108" spans="9:49" ht="15.75">
      <c r="I108" s="7"/>
      <c r="J108" s="7"/>
      <c r="K108" s="7"/>
      <c r="L108" s="7"/>
      <c r="N108" s="7"/>
      <c r="O108" s="7"/>
      <c r="P108" s="7"/>
      <c r="R108" s="7"/>
      <c r="S108" s="7"/>
      <c r="T108" s="7"/>
      <c r="V108" s="7"/>
      <c r="W108" s="7"/>
      <c r="X108" s="7"/>
      <c r="Z108" s="7"/>
      <c r="AA108" s="7"/>
      <c r="AB108" s="7"/>
      <c r="AD108" s="7"/>
      <c r="AE108" s="7"/>
      <c r="AF108" s="7"/>
      <c r="AH108" s="7"/>
      <c r="AI108" s="7"/>
      <c r="AJ108" s="7"/>
      <c r="AL108" s="7"/>
      <c r="AM108" s="7"/>
      <c r="AP108" s="7"/>
      <c r="AQ108" s="7"/>
      <c r="AR108" s="2"/>
      <c r="AS108" s="2"/>
      <c r="AT108" s="2"/>
      <c r="AU108" s="2"/>
      <c r="AV108" s="2"/>
      <c r="AW108" s="2"/>
    </row>
    <row r="109" spans="9:49" ht="15.75">
      <c r="I109" s="7"/>
      <c r="J109" s="7"/>
      <c r="K109" s="7"/>
      <c r="L109" s="7"/>
      <c r="N109" s="7"/>
      <c r="O109" s="7"/>
      <c r="P109" s="7"/>
      <c r="R109" s="7"/>
      <c r="S109" s="7"/>
      <c r="T109" s="7"/>
      <c r="V109" s="7"/>
      <c r="W109" s="7"/>
      <c r="X109" s="7"/>
      <c r="Z109" s="7"/>
      <c r="AA109" s="7"/>
      <c r="AB109" s="7"/>
      <c r="AD109" s="7"/>
      <c r="AE109" s="7"/>
      <c r="AF109" s="7"/>
      <c r="AH109" s="7"/>
      <c r="AI109" s="7"/>
      <c r="AJ109" s="7"/>
      <c r="AL109" s="7"/>
      <c r="AM109" s="7"/>
      <c r="AP109" s="7"/>
      <c r="AQ109" s="7"/>
      <c r="AR109" s="2"/>
      <c r="AS109" s="2"/>
      <c r="AT109" s="2"/>
      <c r="AU109" s="2"/>
      <c r="AV109" s="2"/>
      <c r="AW109" s="2"/>
    </row>
    <row r="110" spans="9:49" ht="15.75">
      <c r="I110" s="7"/>
      <c r="J110" s="7"/>
      <c r="K110" s="7"/>
      <c r="L110" s="7"/>
      <c r="N110" s="7"/>
      <c r="O110" s="7"/>
      <c r="P110" s="7"/>
      <c r="R110" s="7"/>
      <c r="S110" s="7"/>
      <c r="T110" s="7"/>
      <c r="V110" s="7"/>
      <c r="W110" s="7"/>
      <c r="X110" s="7"/>
      <c r="Z110" s="7"/>
      <c r="AA110" s="7"/>
      <c r="AB110" s="7"/>
      <c r="AD110" s="7"/>
      <c r="AE110" s="7"/>
      <c r="AF110" s="7"/>
      <c r="AH110" s="7"/>
      <c r="AI110" s="7"/>
      <c r="AJ110" s="7"/>
      <c r="AL110" s="7"/>
      <c r="AM110" s="7"/>
      <c r="AP110" s="7"/>
      <c r="AQ110" s="7"/>
      <c r="AR110" s="2"/>
      <c r="AS110" s="2"/>
      <c r="AT110" s="2"/>
      <c r="AU110" s="2"/>
      <c r="AV110" s="2"/>
      <c r="AW110" s="2"/>
    </row>
    <row r="111" spans="9:49" ht="15.75">
      <c r="I111" s="7"/>
      <c r="J111" s="7"/>
      <c r="K111" s="7"/>
      <c r="L111" s="7"/>
      <c r="N111" s="7"/>
      <c r="O111" s="7"/>
      <c r="P111" s="7"/>
      <c r="R111" s="7"/>
      <c r="S111" s="7"/>
      <c r="T111" s="7"/>
      <c r="V111" s="7"/>
      <c r="W111" s="7"/>
      <c r="X111" s="7"/>
      <c r="Z111" s="7"/>
      <c r="AA111" s="7"/>
      <c r="AB111" s="7"/>
      <c r="AD111" s="7"/>
      <c r="AE111" s="7"/>
      <c r="AF111" s="7"/>
      <c r="AH111" s="7"/>
      <c r="AI111" s="7"/>
      <c r="AJ111" s="7"/>
      <c r="AL111" s="7"/>
      <c r="AM111" s="7"/>
      <c r="AP111" s="7"/>
      <c r="AQ111" s="7"/>
      <c r="AR111" s="2"/>
      <c r="AS111" s="2"/>
      <c r="AT111" s="2"/>
      <c r="AU111" s="2"/>
      <c r="AV111" s="2"/>
      <c r="AW111" s="2"/>
    </row>
    <row r="112" spans="9:49" ht="15.75">
      <c r="I112" s="7"/>
      <c r="J112" s="7"/>
      <c r="K112" s="7"/>
      <c r="L112" s="7"/>
      <c r="N112" s="7"/>
      <c r="O112" s="7"/>
      <c r="P112" s="7"/>
      <c r="R112" s="7"/>
      <c r="S112" s="7"/>
      <c r="T112" s="7"/>
      <c r="V112" s="7"/>
      <c r="W112" s="7"/>
      <c r="X112" s="7"/>
      <c r="Z112" s="7"/>
      <c r="AA112" s="7"/>
      <c r="AB112" s="7"/>
      <c r="AD112" s="7"/>
      <c r="AE112" s="7"/>
      <c r="AF112" s="7"/>
      <c r="AH112" s="7"/>
      <c r="AI112" s="7"/>
      <c r="AJ112" s="7"/>
      <c r="AL112" s="7"/>
      <c r="AM112" s="7"/>
      <c r="AP112" s="7"/>
      <c r="AQ112" s="7"/>
      <c r="AR112" s="2"/>
      <c r="AS112" s="2"/>
      <c r="AT112" s="2"/>
      <c r="AU112" s="2"/>
      <c r="AV112" s="2"/>
      <c r="AW112" s="2"/>
    </row>
    <row r="113" spans="9:49" ht="15.75">
      <c r="I113" s="7"/>
      <c r="J113" s="7"/>
      <c r="K113" s="7"/>
      <c r="L113" s="7"/>
      <c r="N113" s="7"/>
      <c r="O113" s="7"/>
      <c r="P113" s="7"/>
      <c r="R113" s="7"/>
      <c r="S113" s="7"/>
      <c r="T113" s="7"/>
      <c r="V113" s="7"/>
      <c r="W113" s="7"/>
      <c r="X113" s="7"/>
      <c r="Z113" s="7"/>
      <c r="AA113" s="7"/>
      <c r="AB113" s="7"/>
      <c r="AD113" s="7"/>
      <c r="AE113" s="7"/>
      <c r="AF113" s="7"/>
      <c r="AH113" s="7"/>
      <c r="AI113" s="7"/>
      <c r="AJ113" s="7"/>
      <c r="AL113" s="7"/>
      <c r="AM113" s="7"/>
      <c r="AP113" s="7"/>
      <c r="AQ113" s="7"/>
      <c r="AR113" s="2"/>
      <c r="AS113" s="2"/>
      <c r="AT113" s="2"/>
      <c r="AU113" s="2"/>
      <c r="AV113" s="2"/>
      <c r="AW113" s="2"/>
    </row>
    <row r="114" spans="9:49" ht="15.75">
      <c r="I114" s="7"/>
      <c r="J114" s="7"/>
      <c r="K114" s="7"/>
      <c r="L114" s="7"/>
      <c r="N114" s="7"/>
      <c r="O114" s="7"/>
      <c r="P114" s="7"/>
      <c r="R114" s="7"/>
      <c r="S114" s="7"/>
      <c r="T114" s="7"/>
      <c r="V114" s="7"/>
      <c r="W114" s="7"/>
      <c r="X114" s="7"/>
      <c r="Z114" s="7"/>
      <c r="AA114" s="7"/>
      <c r="AB114" s="7"/>
      <c r="AD114" s="7"/>
      <c r="AE114" s="7"/>
      <c r="AF114" s="7"/>
      <c r="AH114" s="7"/>
      <c r="AI114" s="7"/>
      <c r="AJ114" s="7"/>
      <c r="AL114" s="7"/>
      <c r="AM114" s="7"/>
      <c r="AP114" s="7"/>
      <c r="AQ114" s="7"/>
      <c r="AR114" s="2"/>
      <c r="AS114" s="2"/>
      <c r="AT114" s="2"/>
      <c r="AU114" s="2"/>
      <c r="AV114" s="2"/>
      <c r="AW114" s="2"/>
    </row>
    <row r="115" spans="9:49" ht="15.75">
      <c r="I115" s="7"/>
      <c r="J115" s="7"/>
      <c r="K115" s="7"/>
      <c r="L115" s="7"/>
      <c r="N115" s="7"/>
      <c r="O115" s="7"/>
      <c r="P115" s="7"/>
      <c r="R115" s="7"/>
      <c r="S115" s="7"/>
      <c r="T115" s="7"/>
      <c r="V115" s="7"/>
      <c r="W115" s="7"/>
      <c r="X115" s="7"/>
      <c r="Z115" s="7"/>
      <c r="AA115" s="7"/>
      <c r="AB115" s="7"/>
      <c r="AD115" s="7"/>
      <c r="AE115" s="7"/>
      <c r="AF115" s="7"/>
      <c r="AH115" s="7"/>
      <c r="AI115" s="7"/>
      <c r="AJ115" s="7"/>
      <c r="AL115" s="7"/>
      <c r="AM115" s="7"/>
      <c r="AP115" s="7"/>
      <c r="AQ115" s="7"/>
      <c r="AR115" s="2"/>
      <c r="AS115" s="2"/>
      <c r="AT115" s="2"/>
      <c r="AU115" s="2"/>
      <c r="AV115" s="2"/>
      <c r="AW115" s="2"/>
    </row>
    <row r="116" spans="9:49" ht="15.75">
      <c r="I116" s="7"/>
      <c r="J116" s="7"/>
      <c r="K116" s="7"/>
      <c r="L116" s="7"/>
      <c r="N116" s="7"/>
      <c r="O116" s="7"/>
      <c r="P116" s="7"/>
      <c r="R116" s="7"/>
      <c r="S116" s="7"/>
      <c r="T116" s="7"/>
      <c r="V116" s="7"/>
      <c r="W116" s="7"/>
      <c r="X116" s="7"/>
      <c r="Z116" s="7"/>
      <c r="AA116" s="7"/>
      <c r="AB116" s="7"/>
      <c r="AD116" s="7"/>
      <c r="AE116" s="7"/>
      <c r="AF116" s="7"/>
      <c r="AH116" s="7"/>
      <c r="AI116" s="7"/>
      <c r="AJ116" s="7"/>
      <c r="AL116" s="7"/>
      <c r="AM116" s="7"/>
      <c r="AP116" s="7"/>
      <c r="AQ116" s="7"/>
      <c r="AR116" s="2"/>
      <c r="AS116" s="2"/>
      <c r="AT116" s="2"/>
      <c r="AU116" s="2"/>
      <c r="AV116" s="2"/>
      <c r="AW116" s="2"/>
    </row>
    <row r="117" spans="9:49" ht="15.75">
      <c r="I117" s="7"/>
      <c r="J117" s="7"/>
      <c r="K117" s="7"/>
      <c r="L117" s="7"/>
      <c r="N117" s="7"/>
      <c r="O117" s="7"/>
      <c r="P117" s="7"/>
      <c r="R117" s="7"/>
      <c r="S117" s="7"/>
      <c r="T117" s="7"/>
      <c r="V117" s="7"/>
      <c r="W117" s="7"/>
      <c r="X117" s="7"/>
      <c r="Z117" s="7"/>
      <c r="AA117" s="7"/>
      <c r="AB117" s="7"/>
      <c r="AD117" s="7"/>
      <c r="AE117" s="7"/>
      <c r="AF117" s="7"/>
      <c r="AH117" s="7"/>
      <c r="AI117" s="7"/>
      <c r="AJ117" s="7"/>
      <c r="AL117" s="7"/>
      <c r="AM117" s="7"/>
      <c r="AP117" s="7"/>
      <c r="AQ117" s="7"/>
      <c r="AR117" s="2"/>
      <c r="AS117" s="2"/>
      <c r="AT117" s="2"/>
      <c r="AU117" s="2"/>
      <c r="AV117" s="2"/>
      <c r="AW117" s="2"/>
    </row>
    <row r="118" spans="9:49" ht="15.75">
      <c r="I118" s="7"/>
      <c r="J118" s="7"/>
      <c r="K118" s="7"/>
      <c r="L118" s="7"/>
      <c r="N118" s="7"/>
      <c r="O118" s="7"/>
      <c r="P118" s="7"/>
      <c r="R118" s="7"/>
      <c r="S118" s="7"/>
      <c r="T118" s="7"/>
      <c r="V118" s="7"/>
      <c r="W118" s="7"/>
      <c r="X118" s="7"/>
      <c r="Z118" s="7"/>
      <c r="AA118" s="7"/>
      <c r="AB118" s="7"/>
      <c r="AD118" s="7"/>
      <c r="AE118" s="7"/>
      <c r="AF118" s="7"/>
      <c r="AH118" s="7"/>
      <c r="AI118" s="7"/>
      <c r="AJ118" s="7"/>
      <c r="AL118" s="7"/>
      <c r="AM118" s="7"/>
      <c r="AP118" s="7"/>
      <c r="AQ118" s="7"/>
      <c r="AR118" s="2"/>
      <c r="AS118" s="2"/>
      <c r="AT118" s="2"/>
      <c r="AU118" s="2"/>
      <c r="AV118" s="2"/>
      <c r="AW118" s="2"/>
    </row>
    <row r="119" spans="9:49" ht="15.75">
      <c r="I119" s="7"/>
      <c r="J119" s="7"/>
      <c r="K119" s="7"/>
      <c r="L119" s="7"/>
      <c r="N119" s="7"/>
      <c r="O119" s="7"/>
      <c r="P119" s="7"/>
      <c r="R119" s="7"/>
      <c r="S119" s="7"/>
      <c r="T119" s="7"/>
      <c r="V119" s="7"/>
      <c r="W119" s="7"/>
      <c r="X119" s="7"/>
      <c r="Z119" s="7"/>
      <c r="AA119" s="7"/>
      <c r="AB119" s="7"/>
      <c r="AD119" s="7"/>
      <c r="AE119" s="7"/>
      <c r="AF119" s="7"/>
      <c r="AH119" s="7"/>
      <c r="AI119" s="7"/>
      <c r="AJ119" s="7"/>
      <c r="AL119" s="7"/>
      <c r="AM119" s="7"/>
      <c r="AP119" s="7"/>
      <c r="AQ119" s="7"/>
      <c r="AR119" s="2"/>
      <c r="AS119" s="2"/>
      <c r="AT119" s="2"/>
      <c r="AU119" s="2"/>
      <c r="AV119" s="2"/>
      <c r="AW119" s="2"/>
    </row>
    <row r="120" spans="9:49" ht="15.75">
      <c r="I120" s="7"/>
      <c r="J120" s="7"/>
      <c r="K120" s="7"/>
      <c r="L120" s="7"/>
      <c r="N120" s="7"/>
      <c r="O120" s="7"/>
      <c r="P120" s="7"/>
      <c r="Q120" s="7"/>
      <c r="R120" s="7"/>
      <c r="S120" s="7"/>
      <c r="T120" s="7"/>
      <c r="V120" s="7"/>
      <c r="W120" s="7"/>
      <c r="X120" s="7"/>
      <c r="Z120" s="7"/>
      <c r="AA120" s="7"/>
      <c r="AB120" s="7"/>
      <c r="AD120" s="7"/>
      <c r="AE120" s="7"/>
      <c r="AF120" s="7"/>
      <c r="AH120" s="7"/>
      <c r="AI120" s="7"/>
      <c r="AJ120" s="7"/>
      <c r="AL120" s="7"/>
      <c r="AM120" s="7"/>
      <c r="AP120" s="7"/>
      <c r="AQ120" s="7"/>
      <c r="AR120" s="2"/>
      <c r="AS120" s="2"/>
      <c r="AT120" s="2"/>
      <c r="AU120" s="2"/>
      <c r="AV120" s="2"/>
      <c r="AW120" s="2"/>
    </row>
    <row r="121" spans="9:49" ht="15.75">
      <c r="I121" s="7"/>
      <c r="J121" s="7"/>
      <c r="K121" s="7"/>
      <c r="L121" s="7"/>
      <c r="N121" s="7"/>
      <c r="O121" s="7"/>
      <c r="P121" s="7"/>
      <c r="Q121" s="7"/>
      <c r="R121" s="7"/>
      <c r="S121" s="7"/>
      <c r="T121" s="7"/>
      <c r="V121" s="7"/>
      <c r="W121" s="7"/>
      <c r="X121" s="7"/>
      <c r="Z121" s="7"/>
      <c r="AA121" s="7"/>
      <c r="AB121" s="7"/>
      <c r="AD121" s="7"/>
      <c r="AE121" s="7"/>
      <c r="AF121" s="7"/>
      <c r="AH121" s="7"/>
      <c r="AI121" s="7"/>
      <c r="AJ121" s="7"/>
      <c r="AL121" s="7"/>
      <c r="AM121" s="7"/>
      <c r="AP121" s="7"/>
      <c r="AQ121" s="7"/>
      <c r="AR121" s="2"/>
      <c r="AS121" s="2"/>
      <c r="AT121" s="2"/>
      <c r="AU121" s="2"/>
      <c r="AV121" s="2"/>
      <c r="AW121" s="2"/>
    </row>
    <row r="151" spans="3:31" ht="15.75">
      <c r="C151" s="8"/>
      <c r="F151" s="8"/>
      <c r="I151" s="8"/>
      <c r="L151" s="8"/>
      <c r="O151" s="8"/>
      <c r="R151" s="8"/>
      <c r="U151" s="8"/>
      <c r="X151" s="8"/>
      <c r="AA151" s="8"/>
      <c r="AE151" s="8"/>
    </row>
    <row r="207" spans="3:35" ht="15.75">
      <c r="C207" s="8"/>
      <c r="F207" s="8"/>
      <c r="I207" s="8"/>
      <c r="L207" s="8"/>
      <c r="O207" s="8"/>
      <c r="R207" s="8"/>
      <c r="U207" s="8"/>
      <c r="X207" s="8"/>
      <c r="AA207" s="8"/>
      <c r="AE207" s="8"/>
      <c r="AI207" s="8"/>
    </row>
  </sheetData>
  <sheetProtection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O197"/>
  <sheetViews>
    <sheetView showGridLines="0" zoomScalePageLayoutView="0" workbookViewId="0" topLeftCell="A1">
      <selection activeCell="D14" sqref="D14"/>
    </sheetView>
  </sheetViews>
  <sheetFormatPr defaultColWidth="9.77734375" defaultRowHeight="15.75"/>
  <cols>
    <col min="1" max="1" width="18.77734375" style="0" customWidth="1"/>
    <col min="2" max="2" width="14.77734375" style="0" customWidth="1"/>
    <col min="3" max="4" width="9.77734375" style="0" customWidth="1"/>
    <col min="5" max="5" width="15.77734375" style="0" customWidth="1"/>
    <col min="6" max="6" width="9.77734375" style="0" customWidth="1"/>
    <col min="7" max="8" width="14.77734375" style="0" customWidth="1"/>
    <col min="9" max="26" width="9.77734375" style="0" customWidth="1"/>
    <col min="27" max="27" width="15.77734375" style="0" customWidth="1"/>
    <col min="28" max="40" width="9.77734375" style="0" customWidth="1"/>
    <col min="41" max="43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147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0.0018571</v>
      </c>
      <c r="H3">
        <f>G3*$B$5</f>
        <v>0</v>
      </c>
      <c r="I3">
        <f>G3*$C$5</f>
        <v>0</v>
      </c>
      <c r="J3">
        <v>-0.00913</v>
      </c>
      <c r="K3">
        <f>J3*$B$5</f>
        <v>0</v>
      </c>
      <c r="L3">
        <f>J3*$C$5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0.00069205</v>
      </c>
      <c r="H4">
        <f>G4*$B$6</f>
        <v>0.23460495</v>
      </c>
      <c r="I4">
        <f>G4*$C$6</f>
        <v>0.23460495</v>
      </c>
      <c r="J4">
        <v>0.000252</v>
      </c>
      <c r="K4">
        <f>J4*$B$6</f>
        <v>0.085428</v>
      </c>
      <c r="L4">
        <f>J4*$C$6</f>
        <v>0.085428</v>
      </c>
    </row>
    <row r="5" spans="1:12" ht="15.75">
      <c r="A5" s="2" t="s">
        <v>76</v>
      </c>
      <c r="B5" s="2">
        <f>A!$P$12</f>
        <v>0</v>
      </c>
      <c r="C5" s="2">
        <f>A!$Q$12</f>
        <v>0</v>
      </c>
      <c r="D5" s="2"/>
      <c r="E5" s="2"/>
      <c r="F5" t="s">
        <v>114</v>
      </c>
      <c r="G5">
        <v>0.0090744</v>
      </c>
      <c r="H5">
        <f>G5*$B$7</f>
        <v>0.07894728</v>
      </c>
      <c r="I5">
        <f>G5*$C$7</f>
        <v>0.07894728</v>
      </c>
      <c r="J5">
        <v>-0.013973</v>
      </c>
      <c r="K5">
        <f>J5*$B$7</f>
        <v>-0.12156509999999998</v>
      </c>
      <c r="L5">
        <f>J5*$C$7</f>
        <v>-0.12156509999999998</v>
      </c>
    </row>
    <row r="6" spans="1:12" ht="15.75">
      <c r="A6" s="2" t="s">
        <v>44</v>
      </c>
      <c r="B6" s="2">
        <f>IF(A!$B$8&lt;A!$W$11,A!$W$11,IF(A!$B$8&gt;A!$W$12,A!$W$12,A!$B$8))</f>
        <v>339</v>
      </c>
      <c r="C6" s="2">
        <f>IF(A!$D$8&lt;A!$W$11,A!$W$11,IF(A!$D$8&gt;A!$W$12,A!$W$12,A!$D$8))</f>
        <v>339</v>
      </c>
      <c r="D6" s="2"/>
      <c r="E6" s="2"/>
      <c r="F6" t="s">
        <v>32</v>
      </c>
      <c r="G6">
        <v>0.00093065</v>
      </c>
      <c r="H6">
        <f>G6*$B$8</f>
        <v>0.03815665</v>
      </c>
      <c r="I6">
        <f>G6*$C$8</f>
        <v>0.03815665</v>
      </c>
      <c r="J6">
        <v>0.000931</v>
      </c>
      <c r="K6">
        <f>J6*$B$8</f>
        <v>0.038171</v>
      </c>
      <c r="L6">
        <f>J6*$C$8</f>
        <v>0.038171</v>
      </c>
    </row>
    <row r="7" spans="1:12" ht="15.75">
      <c r="A7" s="2" t="s">
        <v>48</v>
      </c>
      <c r="B7" s="2">
        <f>A!$B$9</f>
        <v>8.7</v>
      </c>
      <c r="C7" s="2">
        <f>A!$D$9</f>
        <v>8.7</v>
      </c>
      <c r="D7" s="2"/>
      <c r="E7" s="2"/>
      <c r="F7" t="s">
        <v>43</v>
      </c>
      <c r="G7">
        <v>0.00084596</v>
      </c>
      <c r="H7">
        <f>G7*$B$9</f>
        <v>0.07021468</v>
      </c>
      <c r="I7">
        <f>G7*$C$9</f>
        <v>0.07021468</v>
      </c>
      <c r="J7">
        <v>-0.004009</v>
      </c>
      <c r="K7">
        <f>J7*$B$9</f>
        <v>-0.332747</v>
      </c>
      <c r="L7">
        <f>J7*$C$9</f>
        <v>-0.332747</v>
      </c>
    </row>
    <row r="8" spans="1:12" ht="15.75">
      <c r="A8" s="2" t="s">
        <v>52</v>
      </c>
      <c r="B8" s="2">
        <f>A!$B$10</f>
        <v>41</v>
      </c>
      <c r="C8" s="2">
        <f>A!$D$10</f>
        <v>41</v>
      </c>
      <c r="D8" s="2"/>
      <c r="E8" s="2"/>
      <c r="F8" t="s">
        <v>129</v>
      </c>
      <c r="G8">
        <v>0.0083632</v>
      </c>
      <c r="H8">
        <f>G8*$B$10</f>
        <v>0.2676224</v>
      </c>
      <c r="I8">
        <f>G8*$C$10</f>
        <v>0.2676224</v>
      </c>
      <c r="J8">
        <v>0.0070970046692682</v>
      </c>
      <c r="K8">
        <f>J8*$B$10</f>
        <v>0.2271041494165824</v>
      </c>
      <c r="L8">
        <f>J8*$C$10</f>
        <v>0.2271041494165824</v>
      </c>
    </row>
    <row r="9" spans="1:12" ht="15.75">
      <c r="A9" s="2" t="s">
        <v>56</v>
      </c>
      <c r="B9" s="2">
        <f>A!$B$11</f>
        <v>83</v>
      </c>
      <c r="C9" s="2">
        <f>A!$P$18</f>
        <v>83</v>
      </c>
      <c r="D9" s="2"/>
      <c r="E9" s="2"/>
      <c r="F9" t="s">
        <v>130</v>
      </c>
      <c r="G9">
        <v>-0.0027735</v>
      </c>
      <c r="H9">
        <f>G9*$B$11</f>
        <v>-0.025516199999999996</v>
      </c>
      <c r="I9">
        <f>G9*$C$11</f>
        <v>-0.025516199999999996</v>
      </c>
      <c r="J9">
        <v>-0.0027603002584</v>
      </c>
      <c r="K9">
        <f>J9*$B$11</f>
        <v>-0.025394762377279997</v>
      </c>
      <c r="L9">
        <f>J9*$C$11</f>
        <v>-0.025394762377279997</v>
      </c>
    </row>
    <row r="10" spans="1:12" ht="15.75">
      <c r="A10" s="2" t="s">
        <v>62</v>
      </c>
      <c r="B10" s="2">
        <f>IF(A!$B$12&lt;A!$W$13,A!$W$13,IF(A!$B$12&gt;A!$W$14,A!$W$14,A!$B$12))</f>
        <v>32</v>
      </c>
      <c r="C10" s="2">
        <f>IF(A!$P$19&lt;A!$W$13,A!$W$13,IF(A!$P$19&gt;A!$W$14,A!$W$14,A!$P$19))</f>
        <v>32</v>
      </c>
      <c r="D10" s="2"/>
      <c r="E10" s="2"/>
      <c r="F10" t="s">
        <v>148</v>
      </c>
      <c r="G10">
        <v>-6.6263E-07</v>
      </c>
      <c r="H10">
        <f>G10*$B$6^2</f>
        <v>-0.07615010223</v>
      </c>
      <c r="I10">
        <f>G10*$C$6^2</f>
        <v>-0.07615010223</v>
      </c>
      <c r="J10">
        <v>0</v>
      </c>
      <c r="K10">
        <f>J10*$B$6^2</f>
        <v>0</v>
      </c>
      <c r="L10">
        <f>J10*$C$6^2</f>
        <v>0</v>
      </c>
    </row>
    <row r="11" spans="1:12" ht="15.75">
      <c r="A11" s="2" t="s">
        <v>65</v>
      </c>
      <c r="B11" s="2">
        <f>IF(A!$B$13&lt;A!$W$15,A!$W$15,IF(A!$B$13&gt;A!$W$16,A!$W$16,A!$B$13))</f>
        <v>9.2</v>
      </c>
      <c r="C11" s="2">
        <f>IF(A!$D$13&lt;A!$W$15,A!$W$15,IF(A!$D$13&gt;A!$W$16,A!$W$16,A!$D$13))</f>
        <v>9.2</v>
      </c>
      <c r="D11" s="2"/>
      <c r="E11" s="2"/>
      <c r="F11" t="s">
        <v>149</v>
      </c>
      <c r="G11">
        <v>-0.00011905</v>
      </c>
      <c r="H11">
        <f>G11*$B$10^2</f>
        <v>-0.1219072</v>
      </c>
      <c r="I11">
        <f>G11*$C$10^2</f>
        <v>-0.1219072</v>
      </c>
      <c r="J11">
        <v>-7.9951E-05</v>
      </c>
      <c r="K11">
        <f>J11*$B$10^2</f>
        <v>-0.081869824</v>
      </c>
      <c r="L11">
        <f>J11*$C$10^2</f>
        <v>-0.081869824</v>
      </c>
    </row>
    <row r="12" spans="1:12" ht="15.75">
      <c r="A12" s="2" t="s">
        <v>133</v>
      </c>
      <c r="B12" s="2">
        <f>A!$B$14</f>
        <v>1.53</v>
      </c>
      <c r="C12" s="2">
        <f>A!$D$14</f>
        <v>1.53</v>
      </c>
      <c r="D12" s="2"/>
      <c r="E12" s="2"/>
      <c r="F12" t="s">
        <v>150</v>
      </c>
      <c r="G12">
        <v>0.00036652</v>
      </c>
      <c r="H12">
        <f>G12*$B$11^2</f>
        <v>0.031022252799999997</v>
      </c>
      <c r="I12">
        <f>G12*$C$11^2</f>
        <v>0.031022252799999997</v>
      </c>
      <c r="J12">
        <v>0.000366</v>
      </c>
      <c r="K12">
        <f>J12*$B$11^2</f>
        <v>0.030978239999999997</v>
      </c>
      <c r="L12">
        <f>J12*$C$11^2</f>
        <v>0.030978239999999997</v>
      </c>
    </row>
    <row r="13" spans="1:5" ht="15.75">
      <c r="A13" s="2"/>
      <c r="B13" s="2"/>
      <c r="C13" s="2"/>
      <c r="D13" s="2" t="s">
        <v>135</v>
      </c>
      <c r="E13" s="2"/>
    </row>
    <row r="14" spans="1:12" ht="15.75">
      <c r="A14" s="2" t="s">
        <v>136</v>
      </c>
      <c r="B14" s="2"/>
      <c r="C14" s="2"/>
      <c r="D14" s="2">
        <f>H17</f>
        <v>0</v>
      </c>
      <c r="E14" s="2"/>
      <c r="F14" t="s">
        <v>137</v>
      </c>
      <c r="H14">
        <f>SUM(H3:H12)</f>
        <v>0.49699471057000005</v>
      </c>
      <c r="I14">
        <f>SUM(I3:I12)</f>
        <v>0.49699471057000005</v>
      </c>
      <c r="K14">
        <f>SUM(K3:K12)</f>
        <v>-0.17989529696069756</v>
      </c>
      <c r="L14">
        <f>SUM(L3:L12)</f>
        <v>-0.17989529696069756</v>
      </c>
    </row>
    <row r="15" spans="1:12" ht="15.75">
      <c r="A15" s="2" t="s">
        <v>138</v>
      </c>
      <c r="B15" s="2">
        <f>A!B$30</f>
        <v>1340</v>
      </c>
      <c r="C15" s="2">
        <f>B15+B15*D15/100</f>
        <v>1340</v>
      </c>
      <c r="D15" s="2">
        <f>H21</f>
        <v>0</v>
      </c>
      <c r="E15" s="2"/>
      <c r="F15" t="s">
        <v>151</v>
      </c>
      <c r="H15">
        <f>EXP(H14)</f>
        <v>1.6437738240704882</v>
      </c>
      <c r="I15">
        <f>EXP(I14)</f>
        <v>1.6437738240704882</v>
      </c>
      <c r="K15">
        <f>EXP(K14)</f>
        <v>0.8353576713196248</v>
      </c>
      <c r="L15">
        <f>EXP(L14)</f>
        <v>0.8353576713196248</v>
      </c>
    </row>
    <row r="16" spans="1:5" ht="15.75">
      <c r="A16" s="2" t="s">
        <v>140</v>
      </c>
      <c r="B16" s="2"/>
      <c r="C16" s="2"/>
      <c r="D16" s="2">
        <f>K17</f>
        <v>0</v>
      </c>
      <c r="E16" s="2"/>
    </row>
    <row r="17" spans="1:11" ht="15.75">
      <c r="A17" s="2"/>
      <c r="B17" s="2"/>
      <c r="C17" s="2"/>
      <c r="D17" s="2"/>
      <c r="E17" s="2"/>
      <c r="F17" t="s">
        <v>152</v>
      </c>
      <c r="H17">
        <f>(I15/H15-1)*100</f>
        <v>0</v>
      </c>
      <c r="K17">
        <f>(L15/K15-1)*100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11" ht="15.75">
      <c r="A19" s="2"/>
      <c r="B19" s="2"/>
      <c r="C19" s="2"/>
      <c r="D19" s="2"/>
      <c r="E19" s="2"/>
      <c r="F19" t="s">
        <v>141</v>
      </c>
      <c r="H19">
        <f>A!K11</f>
        <v>0.738</v>
      </c>
      <c r="K19">
        <f>A!L11</f>
        <v>0.262</v>
      </c>
    </row>
    <row r="20" spans="1:5" ht="15.75">
      <c r="A20" s="2"/>
      <c r="B20" s="2"/>
      <c r="C20" s="2"/>
      <c r="D20" s="2"/>
      <c r="E20" s="2"/>
    </row>
    <row r="21" spans="1:8" ht="15.75">
      <c r="A21" s="2"/>
      <c r="B21" s="2"/>
      <c r="C21" s="2"/>
      <c r="D21" s="2"/>
      <c r="E21" s="2"/>
      <c r="F21" t="s">
        <v>143</v>
      </c>
      <c r="H21">
        <f>H17*H19+K17*K19</f>
        <v>0</v>
      </c>
    </row>
    <row r="23" ht="15.75">
      <c r="F23" t="s">
        <v>144</v>
      </c>
    </row>
    <row r="25" spans="7:10" ht="15.75">
      <c r="G25" t="s">
        <v>145</v>
      </c>
      <c r="J25" t="s">
        <v>146</v>
      </c>
    </row>
    <row r="26" spans="6:10" ht="15.75">
      <c r="F26" t="s">
        <v>60</v>
      </c>
      <c r="G26">
        <f>(2*G10*$C6+G4)*100*I15/H15</f>
        <v>0.024278686</v>
      </c>
      <c r="J26">
        <f>(2*J10*$C6+J4)*100*L15/K15</f>
        <v>0.0252</v>
      </c>
    </row>
    <row r="27" spans="6:41" ht="15.75">
      <c r="F27" t="s">
        <v>49</v>
      </c>
      <c r="G27">
        <f>(2*G11*$C10+G8)*100*I15/H15</f>
        <v>0.0744</v>
      </c>
      <c r="J27">
        <f>(2*J11*$C10+J8)*100*L15/K15</f>
        <v>0.19801406692682008</v>
      </c>
      <c r="AO27" s="16"/>
    </row>
    <row r="28" spans="6:41" ht="15.75">
      <c r="F28" t="s">
        <v>73</v>
      </c>
      <c r="G28">
        <f>(2*G12*$C11+G9)*100*I15/H15</f>
        <v>0.3970468</v>
      </c>
      <c r="J28">
        <f>(2*J12*$C11+J9)*100*L15/K15</f>
        <v>0.39740997416</v>
      </c>
      <c r="AO28" s="37"/>
    </row>
    <row r="82" spans="5:40" ht="15.75">
      <c r="E82" s="8"/>
      <c r="I82" s="8"/>
      <c r="M82" s="8"/>
      <c r="Q82" s="8"/>
      <c r="U82" s="8"/>
      <c r="Y82" s="8"/>
      <c r="AB82" s="8"/>
      <c r="AD82" s="8"/>
      <c r="AG82" s="8"/>
      <c r="AK82" s="8"/>
      <c r="AN82" s="8"/>
    </row>
    <row r="90" spans="11:27" ht="15.75">
      <c r="K90" s="8"/>
      <c r="N90" s="8"/>
      <c r="Q90" s="8"/>
      <c r="T90" s="8"/>
      <c r="W90" s="8"/>
      <c r="AA90" s="8"/>
    </row>
    <row r="126" spans="11:30" ht="15.75">
      <c r="K126" s="8"/>
      <c r="N126" s="8"/>
      <c r="Q126" s="8"/>
      <c r="T126" s="8"/>
      <c r="W126" s="8"/>
      <c r="AA126" s="8"/>
      <c r="AD126" s="8"/>
    </row>
    <row r="137" spans="11:30" ht="15.75">
      <c r="K137" s="8"/>
      <c r="N137" s="8"/>
      <c r="Q137" s="8"/>
      <c r="T137" s="8"/>
      <c r="W137" s="8"/>
      <c r="AA137" s="8"/>
      <c r="AD137" s="8"/>
    </row>
    <row r="197" spans="11:27" ht="15.75">
      <c r="K197" s="8"/>
      <c r="N197" s="8"/>
      <c r="Q197" s="8"/>
      <c r="T197" s="8"/>
      <c r="W197" s="8"/>
      <c r="AA197" s="8"/>
    </row>
  </sheetData>
  <sheetProtection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S80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5.77734375" style="0" customWidth="1"/>
    <col min="2" max="2" width="14.77734375" style="0" customWidth="1"/>
    <col min="3" max="4" width="9.77734375" style="0" customWidth="1"/>
    <col min="5" max="5" width="14.77734375" style="0" customWidth="1"/>
    <col min="6" max="6" width="9.77734375" style="0" customWidth="1"/>
    <col min="7" max="7" width="15.77734375" style="0" customWidth="1"/>
    <col min="8" max="9" width="9.77734375" style="0" customWidth="1"/>
    <col min="10" max="10" width="13.77734375" style="0" customWidth="1"/>
    <col min="11" max="44" width="9.77734375" style="0" customWidth="1"/>
    <col min="45" max="46" width="15.77734375" style="0" customWidth="1"/>
    <col min="47" max="48" width="9.77734375" style="0" customWidth="1"/>
    <col min="49" max="49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153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0</v>
      </c>
      <c r="H3">
        <f>G3*$B5</f>
        <v>0</v>
      </c>
      <c r="I3">
        <f>G3*$C5</f>
        <v>0</v>
      </c>
      <c r="J3">
        <v>-0.096047</v>
      </c>
      <c r="K3">
        <f>J3*$B5</f>
        <v>0</v>
      </c>
      <c r="L3">
        <f>J3*$C5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0.00061965</v>
      </c>
      <c r="H4">
        <f>G4*$B6</f>
        <v>0.21006135</v>
      </c>
      <c r="I4">
        <f>G4*$C6</f>
        <v>0.21006135</v>
      </c>
      <c r="J4">
        <v>0.000337</v>
      </c>
      <c r="K4">
        <f>J4*$B6</f>
        <v>0.114243</v>
      </c>
      <c r="L4">
        <f>J4*$C6</f>
        <v>0.114243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E5" s="2"/>
      <c r="F5" t="s">
        <v>32</v>
      </c>
      <c r="G5">
        <v>-0.0033762</v>
      </c>
      <c r="H5">
        <f>G5*$B8</f>
        <v>-0.1384242</v>
      </c>
      <c r="I5">
        <f>G5*$C8</f>
        <v>-0.1384242</v>
      </c>
      <c r="J5">
        <v>0</v>
      </c>
      <c r="K5">
        <f>J5*$B8</f>
        <v>0</v>
      </c>
      <c r="L5">
        <f>J5*$C8</f>
        <v>0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E6" s="2"/>
      <c r="F6" t="s">
        <v>43</v>
      </c>
      <c r="G6">
        <v>0</v>
      </c>
      <c r="H6">
        <f>G6*$B9</f>
        <v>0</v>
      </c>
      <c r="I6">
        <f>G6*$C9</f>
        <v>0</v>
      </c>
      <c r="J6">
        <v>0.011251</v>
      </c>
      <c r="K6">
        <f>J6*$B9</f>
        <v>0.933833</v>
      </c>
      <c r="L6">
        <f>J6*$C9</f>
        <v>0.933833</v>
      </c>
    </row>
    <row r="7" spans="1:12" ht="15.75">
      <c r="A7" s="2" t="s">
        <v>154</v>
      </c>
      <c r="B7" s="2">
        <f>A!$B$9</f>
        <v>8.7</v>
      </c>
      <c r="C7" s="2">
        <f>A!$D9</f>
        <v>8.7</v>
      </c>
      <c r="D7" s="2"/>
      <c r="E7" s="2"/>
      <c r="F7" t="s">
        <v>129</v>
      </c>
      <c r="G7">
        <v>0.02655</v>
      </c>
      <c r="H7">
        <f>G7*$B10</f>
        <v>0.8496</v>
      </c>
      <c r="I7">
        <f>G7*$C10</f>
        <v>0.8496</v>
      </c>
      <c r="J7">
        <v>0.011882</v>
      </c>
      <c r="K7">
        <f>J7*$B10</f>
        <v>0.380224</v>
      </c>
      <c r="L7">
        <f>J7*$C10</f>
        <v>0.380224</v>
      </c>
    </row>
    <row r="8" spans="1:12" ht="15.75">
      <c r="A8" s="2" t="s">
        <v>32</v>
      </c>
      <c r="B8" s="2">
        <f>A!$B$10</f>
        <v>41</v>
      </c>
      <c r="C8" s="2">
        <f>A!$D10</f>
        <v>41</v>
      </c>
      <c r="D8" s="2"/>
      <c r="E8" s="2"/>
      <c r="F8" t="s">
        <v>155</v>
      </c>
      <c r="G8">
        <v>0.22239</v>
      </c>
      <c r="H8">
        <f>G8*$B12</f>
        <v>0.3402567</v>
      </c>
      <c r="I8">
        <f>G8*$C12</f>
        <v>0.3402567</v>
      </c>
      <c r="J8">
        <v>0.222318</v>
      </c>
      <c r="K8">
        <f>J8*$B12</f>
        <v>0.34014654</v>
      </c>
      <c r="L8">
        <f>J8*$C12</f>
        <v>0.34014654</v>
      </c>
    </row>
    <row r="9" spans="1:5" ht="15.75">
      <c r="A9" s="2" t="s">
        <v>43</v>
      </c>
      <c r="B9" s="2">
        <f>A!$B$11</f>
        <v>83</v>
      </c>
      <c r="C9" s="2">
        <f>A!$P18</f>
        <v>83</v>
      </c>
      <c r="D9" s="2"/>
      <c r="E9" s="2"/>
    </row>
    <row r="10" spans="1:12" ht="15.75">
      <c r="A10" s="2" t="s">
        <v>156</v>
      </c>
      <c r="B10" s="2">
        <f>A!$B$12</f>
        <v>32</v>
      </c>
      <c r="C10" s="2">
        <f>A!$P19</f>
        <v>32</v>
      </c>
      <c r="D10" s="2"/>
      <c r="E10" s="2"/>
      <c r="F10" t="s">
        <v>137</v>
      </c>
      <c r="H10">
        <f>SUM(H3:H8)</f>
        <v>1.2614938500000001</v>
      </c>
      <c r="I10">
        <f>SUM(I3:I8)</f>
        <v>1.2614938500000001</v>
      </c>
      <c r="K10">
        <f>SUM(K3:K8)</f>
        <v>1.7684465400000002</v>
      </c>
      <c r="L10">
        <f>SUM(L3:L8)</f>
        <v>1.7684465400000002</v>
      </c>
    </row>
    <row r="11" spans="1:12" ht="15.75">
      <c r="A11" s="2" t="s">
        <v>157</v>
      </c>
      <c r="B11" s="2">
        <f>A!$B$13</f>
        <v>9.2</v>
      </c>
      <c r="C11" s="2">
        <f>A!$D13</f>
        <v>9.2</v>
      </c>
      <c r="D11" s="2"/>
      <c r="E11" s="2"/>
      <c r="F11" t="s">
        <v>151</v>
      </c>
      <c r="H11">
        <f>EXP(H10)</f>
        <v>3.530691873857603</v>
      </c>
      <c r="I11">
        <f>EXP(I10)</f>
        <v>3.530691873857603</v>
      </c>
      <c r="K11">
        <f>EXP(K10)</f>
        <v>5.861740305736205</v>
      </c>
      <c r="L11">
        <f>EXP(L10)</f>
        <v>5.861740305736205</v>
      </c>
    </row>
    <row r="12" spans="1:5" ht="15.75">
      <c r="A12" s="2" t="s">
        <v>67</v>
      </c>
      <c r="B12" s="2">
        <f>A!$B$14</f>
        <v>1.53</v>
      </c>
      <c r="C12" s="2">
        <f>A!$D14</f>
        <v>1.53</v>
      </c>
      <c r="D12" s="2"/>
      <c r="E12" s="2"/>
    </row>
    <row r="13" spans="1:11" ht="15.75">
      <c r="A13" s="2"/>
      <c r="B13" s="2"/>
      <c r="C13" s="2"/>
      <c r="D13" s="2" t="s">
        <v>135</v>
      </c>
      <c r="E13" s="2"/>
      <c r="F13" t="s">
        <v>141</v>
      </c>
      <c r="H13">
        <f>A!K10</f>
        <v>0.444</v>
      </c>
      <c r="K13">
        <f>A!L10</f>
        <v>0.556</v>
      </c>
    </row>
    <row r="14" spans="1:5" ht="15.75">
      <c r="A14" s="2" t="s">
        <v>23</v>
      </c>
      <c r="B14" s="2"/>
      <c r="C14" s="2"/>
      <c r="D14" s="2">
        <f>H15</f>
        <v>0</v>
      </c>
      <c r="E14" s="2"/>
    </row>
    <row r="15" spans="1:11" ht="15.75">
      <c r="A15" s="2" t="s">
        <v>158</v>
      </c>
      <c r="B15" s="2">
        <f>A!B21</f>
        <v>53.54</v>
      </c>
      <c r="C15" s="2">
        <f>B15+B15*D15/100</f>
        <v>53.54</v>
      </c>
      <c r="D15" s="2">
        <f>H17</f>
        <v>0</v>
      </c>
      <c r="E15" s="2"/>
      <c r="F15" t="s">
        <v>142</v>
      </c>
      <c r="H15">
        <f>(I11/H11-1)*100</f>
        <v>0</v>
      </c>
      <c r="K15">
        <f>(L11/K11-1)*100</f>
        <v>0</v>
      </c>
    </row>
    <row r="16" spans="1:5" ht="15.75">
      <c r="A16" s="2" t="s">
        <v>24</v>
      </c>
      <c r="B16" s="2"/>
      <c r="C16" s="2"/>
      <c r="D16" s="2">
        <f>K15</f>
        <v>0</v>
      </c>
      <c r="E16" s="2"/>
    </row>
    <row r="17" spans="1:8" ht="15.75">
      <c r="A17" s="2"/>
      <c r="B17" s="2"/>
      <c r="C17" s="2"/>
      <c r="D17" s="2"/>
      <c r="E17" s="2"/>
      <c r="F17" t="s">
        <v>143</v>
      </c>
      <c r="H17">
        <f>H15*H13+K15*K13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  <row r="25" ht="15.75">
      <c r="AS25" s="16"/>
    </row>
    <row r="26" ht="15.75">
      <c r="AS26" s="37"/>
    </row>
    <row r="80" spans="5:44" ht="15.75">
      <c r="E80" s="8"/>
      <c r="I80" s="8"/>
      <c r="M80" s="8"/>
      <c r="Q80" s="8"/>
      <c r="U80" s="8"/>
      <c r="Y80" s="8"/>
      <c r="AC80" s="8"/>
      <c r="AF80" s="8"/>
      <c r="AK80" s="8"/>
      <c r="AN80" s="8"/>
      <c r="AR80" s="8"/>
    </row>
  </sheetData>
  <sheetProtection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S80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7.77734375" style="0" customWidth="1"/>
    <col min="2" max="2" width="16.77734375" style="0" customWidth="1"/>
    <col min="3" max="4" width="9.77734375" style="0" customWidth="1"/>
    <col min="5" max="5" width="15.77734375" style="0" customWidth="1"/>
    <col min="6" max="6" width="9.77734375" style="0" customWidth="1"/>
    <col min="7" max="7" width="14.77734375" style="0" customWidth="1"/>
    <col min="8" max="9" width="9.77734375" style="0" customWidth="1"/>
    <col min="10" max="10" width="12.77734375" style="0" customWidth="1"/>
    <col min="11" max="44" width="9.77734375" style="0" customWidth="1"/>
    <col min="45" max="46" width="15.77734375" style="0" customWidth="1"/>
    <col min="47" max="48" width="9.77734375" style="0" customWidth="1"/>
    <col min="49" max="49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159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63</v>
      </c>
      <c r="G3">
        <v>0</v>
      </c>
      <c r="H3">
        <f>G3*$B$5</f>
        <v>0</v>
      </c>
      <c r="I3">
        <f>G3*$C$5</f>
        <v>0</v>
      </c>
      <c r="J3">
        <v>-0.060771</v>
      </c>
      <c r="K3">
        <f>J3*$B$5</f>
        <v>0</v>
      </c>
      <c r="L3">
        <f>J3*$C$5</f>
        <v>0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128</v>
      </c>
      <c r="G4">
        <v>0.0001552</v>
      </c>
      <c r="H4">
        <f>G4*$B$6</f>
        <v>0.0526128</v>
      </c>
      <c r="I4">
        <f>G4*$C$6</f>
        <v>0.0526128</v>
      </c>
      <c r="J4">
        <v>0</v>
      </c>
      <c r="K4">
        <f>J4*$B$6</f>
        <v>0</v>
      </c>
      <c r="L4">
        <f>J4*$C$6</f>
        <v>0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E5" s="2"/>
      <c r="F5" t="s">
        <v>32</v>
      </c>
      <c r="G5">
        <v>-0.0072532</v>
      </c>
      <c r="H5">
        <f>G5*$B$8</f>
        <v>-0.29738119999999996</v>
      </c>
      <c r="I5">
        <f>G5*$C$8</f>
        <v>-0.29738119999999996</v>
      </c>
      <c r="J5">
        <v>-0.007311</v>
      </c>
      <c r="K5">
        <f>J5*$B$8</f>
        <v>-0.299751</v>
      </c>
      <c r="L5">
        <f>J5*$C$8</f>
        <v>-0.299751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E6" s="2"/>
      <c r="F6" t="s">
        <v>43</v>
      </c>
      <c r="G6">
        <v>-0.014866</v>
      </c>
      <c r="H6">
        <f>G6*$B$9</f>
        <v>-1.233878</v>
      </c>
      <c r="I6">
        <f>G6*$C$9</f>
        <v>-1.233878</v>
      </c>
      <c r="J6">
        <v>-0.008058</v>
      </c>
      <c r="K6">
        <f>J6*$B$9</f>
        <v>-0.6688139999999999</v>
      </c>
      <c r="L6">
        <f>J6*$C$9</f>
        <v>-0.6688139999999999</v>
      </c>
    </row>
    <row r="7" spans="1:12" ht="15.75">
      <c r="A7" s="2" t="s">
        <v>154</v>
      </c>
      <c r="B7" s="2">
        <f>A!$B$9</f>
        <v>8.7</v>
      </c>
      <c r="C7" s="2">
        <f>A!$D9</f>
        <v>8.7</v>
      </c>
      <c r="D7" s="2"/>
      <c r="E7" s="2"/>
      <c r="F7" t="s">
        <v>129</v>
      </c>
      <c r="G7">
        <v>-0.0040002</v>
      </c>
      <c r="H7">
        <f>G7*$B$10</f>
        <v>-0.1280064</v>
      </c>
      <c r="I7">
        <f>G7*$C$10</f>
        <v>-0.1280064</v>
      </c>
      <c r="J7">
        <v>-0.004005</v>
      </c>
      <c r="K7">
        <f>J7*$B$10</f>
        <v>-0.12816</v>
      </c>
      <c r="L7">
        <f>J7*$C$10</f>
        <v>-0.12816</v>
      </c>
    </row>
    <row r="8" spans="1:12" ht="15.75">
      <c r="A8" s="2" t="s">
        <v>32</v>
      </c>
      <c r="B8" s="2">
        <f>A!$B$10</f>
        <v>41</v>
      </c>
      <c r="C8" s="2">
        <f>A!$D10</f>
        <v>41</v>
      </c>
      <c r="D8" s="2"/>
      <c r="E8" s="2"/>
      <c r="F8" t="s">
        <v>130</v>
      </c>
      <c r="G8">
        <v>0.028235</v>
      </c>
      <c r="H8">
        <f>G8*$B$11</f>
        <v>0.259762</v>
      </c>
      <c r="I8">
        <f>G8*$C$11</f>
        <v>0.259762</v>
      </c>
      <c r="J8">
        <v>0.043696</v>
      </c>
      <c r="K8">
        <f>J8*$B$11</f>
        <v>0.40200319999999995</v>
      </c>
      <c r="L8">
        <f>J8*$C$11</f>
        <v>0.40200319999999995</v>
      </c>
    </row>
    <row r="9" spans="1:5" ht="15.75">
      <c r="A9" s="2" t="s">
        <v>43</v>
      </c>
      <c r="B9" s="2">
        <f>A!$B$11</f>
        <v>83</v>
      </c>
      <c r="C9" s="2">
        <f>A!$P18</f>
        <v>83</v>
      </c>
      <c r="D9" s="2"/>
      <c r="E9" s="2"/>
    </row>
    <row r="10" spans="1:12" ht="15.75">
      <c r="A10" s="2" t="s">
        <v>156</v>
      </c>
      <c r="B10" s="2">
        <f>A!$B$12</f>
        <v>32</v>
      </c>
      <c r="C10" s="2">
        <f>A!$P19</f>
        <v>32</v>
      </c>
      <c r="D10" s="2"/>
      <c r="E10" s="2"/>
      <c r="F10" t="s">
        <v>137</v>
      </c>
      <c r="H10">
        <f>SUM(H3:H8)</f>
        <v>-1.3468908</v>
      </c>
      <c r="I10">
        <f>SUM(I3:I8)</f>
        <v>-1.3468908</v>
      </c>
      <c r="K10">
        <f>SUM(K3:K8)</f>
        <v>-0.6947218</v>
      </c>
      <c r="L10">
        <f>SUM(L3:L8)</f>
        <v>-0.6947218</v>
      </c>
    </row>
    <row r="11" spans="1:12" ht="15.75">
      <c r="A11" s="2" t="s">
        <v>157</v>
      </c>
      <c r="B11" s="2">
        <f>A!$B$13</f>
        <v>9.2</v>
      </c>
      <c r="C11" s="2">
        <f>A!$D13</f>
        <v>9.2</v>
      </c>
      <c r="D11" s="2"/>
      <c r="E11" s="2"/>
      <c r="F11" t="s">
        <v>151</v>
      </c>
      <c r="H11">
        <f>EXP(H10)</f>
        <v>0.26004754481792264</v>
      </c>
      <c r="I11">
        <f>EXP(I10)</f>
        <v>0.26004754481792264</v>
      </c>
      <c r="K11">
        <f>EXP(K10)</f>
        <v>0.49921330981134987</v>
      </c>
      <c r="L11">
        <f>EXP(L10)</f>
        <v>0.49921330981134987</v>
      </c>
    </row>
    <row r="12" spans="1:5" ht="15.75">
      <c r="A12" s="2" t="s">
        <v>67</v>
      </c>
      <c r="B12" s="2">
        <f>A!$B$14</f>
        <v>1.53</v>
      </c>
      <c r="C12" s="2">
        <f>A!$D14</f>
        <v>1.53</v>
      </c>
      <c r="D12" s="2"/>
      <c r="E12" s="2"/>
    </row>
    <row r="13" spans="1:11" ht="15.75">
      <c r="A13" s="2"/>
      <c r="B13" s="2"/>
      <c r="C13" s="2"/>
      <c r="D13" s="2" t="s">
        <v>135</v>
      </c>
      <c r="E13" s="2"/>
      <c r="F13" t="s">
        <v>141</v>
      </c>
      <c r="H13">
        <f>A!K10</f>
        <v>0.444</v>
      </c>
      <c r="K13">
        <f>A!L10</f>
        <v>0.556</v>
      </c>
    </row>
    <row r="14" spans="1:5" ht="15.75">
      <c r="A14" s="2" t="s">
        <v>23</v>
      </c>
      <c r="B14" s="2"/>
      <c r="C14" s="2"/>
      <c r="D14" s="2">
        <f>H15</f>
        <v>0</v>
      </c>
      <c r="E14" s="2"/>
    </row>
    <row r="15" spans="1:11" ht="15.75">
      <c r="A15" s="2" t="s">
        <v>158</v>
      </c>
      <c r="B15" s="2">
        <f>A!B25</f>
        <v>9.38</v>
      </c>
      <c r="C15" s="2">
        <f>B15+B15*D15/100</f>
        <v>9.38</v>
      </c>
      <c r="D15" s="2">
        <f>H17</f>
        <v>0</v>
      </c>
      <c r="E15" s="2"/>
      <c r="F15" t="s">
        <v>142</v>
      </c>
      <c r="H15">
        <f>(I11/H11-1)*100</f>
        <v>0</v>
      </c>
      <c r="K15">
        <f>(L11/K11-1)*100</f>
        <v>0</v>
      </c>
    </row>
    <row r="16" spans="1:5" ht="15.75">
      <c r="A16" s="2" t="s">
        <v>24</v>
      </c>
      <c r="B16" s="2"/>
      <c r="C16" s="2"/>
      <c r="D16" s="2">
        <f>K15</f>
        <v>0</v>
      </c>
      <c r="E16" s="2"/>
    </row>
    <row r="17" spans="1:8" ht="15.75">
      <c r="A17" s="2"/>
      <c r="B17" s="2"/>
      <c r="C17" s="2"/>
      <c r="D17" s="2"/>
      <c r="E17" s="2"/>
      <c r="F17" t="s">
        <v>143</v>
      </c>
      <c r="H17">
        <f>H15*H13+K15*K13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s="2"/>
      <c r="B21" s="2"/>
      <c r="C21" s="2"/>
      <c r="D21" s="2"/>
      <c r="E21" s="2"/>
    </row>
    <row r="25" ht="15.75">
      <c r="AS25" s="16"/>
    </row>
    <row r="26" ht="15.75">
      <c r="AS26" s="37"/>
    </row>
    <row r="80" spans="5:44" ht="15.75">
      <c r="E80" s="8"/>
      <c r="I80" s="8"/>
      <c r="M80" s="8"/>
      <c r="Q80" s="8"/>
      <c r="U80" s="8"/>
      <c r="Y80" s="8"/>
      <c r="AC80" s="8"/>
      <c r="AF80" s="8"/>
      <c r="AK80" s="8"/>
      <c r="AO80" s="8"/>
      <c r="AR80" s="8"/>
    </row>
  </sheetData>
  <sheetProtection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S87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2" width="15.77734375" style="0" customWidth="1"/>
    <col min="3" max="4" width="9.77734375" style="0" customWidth="1"/>
    <col min="5" max="5" width="16.77734375" style="0" customWidth="1"/>
    <col min="6" max="6" width="9.77734375" style="0" customWidth="1"/>
    <col min="7" max="7" width="14.77734375" style="0" customWidth="1"/>
    <col min="8" max="9" width="9.77734375" style="0" customWidth="1"/>
    <col min="10" max="10" width="12.77734375" style="0" customWidth="1"/>
    <col min="11" max="44" width="9.77734375" style="0" customWidth="1"/>
    <col min="45" max="47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160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43</v>
      </c>
      <c r="G3">
        <v>-0.010226</v>
      </c>
      <c r="H3">
        <f>G3*$B9</f>
        <v>-0.848758</v>
      </c>
      <c r="I3">
        <f>G3*$C9</f>
        <v>-0.848758</v>
      </c>
      <c r="J3">
        <v>-0.01022621</v>
      </c>
      <c r="K3">
        <f>J3*$B9</f>
        <v>-0.84877543</v>
      </c>
      <c r="L3">
        <f>J3*$C9</f>
        <v>-0.84877543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129</v>
      </c>
      <c r="G4">
        <v>-0.007166</v>
      </c>
      <c r="H4">
        <f>G4*$B10</f>
        <v>-0.229312</v>
      </c>
      <c r="I4">
        <f>G4*$C10</f>
        <v>-0.229312</v>
      </c>
      <c r="J4">
        <v>-0.00716603</v>
      </c>
      <c r="K4">
        <f>J4*$B10</f>
        <v>-0.22931296</v>
      </c>
      <c r="L4">
        <f>J4*$C10</f>
        <v>-0.22931296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F5" t="s">
        <v>130</v>
      </c>
      <c r="G5">
        <v>0</v>
      </c>
      <c r="H5">
        <f>G5*$B11</f>
        <v>0</v>
      </c>
      <c r="I5">
        <f>G5*$C11</f>
        <v>0</v>
      </c>
      <c r="J5">
        <v>-0.03135193</v>
      </c>
      <c r="K5">
        <f>J5*$B11</f>
        <v>-0.288437756</v>
      </c>
      <c r="L5">
        <f>J5*$C11</f>
        <v>-0.288437756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F6" t="s">
        <v>116</v>
      </c>
      <c r="G6">
        <v>0.046213</v>
      </c>
      <c r="H6">
        <f>G6*$B24</f>
        <v>0</v>
      </c>
      <c r="I6">
        <f>G6*$C24</f>
        <v>0</v>
      </c>
      <c r="J6">
        <v>0.04621306</v>
      </c>
      <c r="K6">
        <f>J6*$B24</f>
        <v>0</v>
      </c>
      <c r="L6">
        <f>J6*$C24</f>
        <v>0</v>
      </c>
    </row>
    <row r="7" spans="1:4" ht="15.75">
      <c r="A7" s="2" t="s">
        <v>154</v>
      </c>
      <c r="B7" s="2">
        <f>A!$B$9</f>
        <v>8.7</v>
      </c>
      <c r="C7" s="2">
        <f>A!$D9</f>
        <v>8.7</v>
      </c>
      <c r="D7" s="2"/>
    </row>
    <row r="8" spans="1:4" ht="15.75">
      <c r="A8" s="2" t="s">
        <v>32</v>
      </c>
      <c r="B8" s="2">
        <f>A!$B$10</f>
        <v>41</v>
      </c>
      <c r="C8" s="2">
        <f>A!$D10</f>
        <v>41</v>
      </c>
      <c r="D8" s="2"/>
    </row>
    <row r="9" spans="1:4" ht="15.75">
      <c r="A9" s="2" t="s">
        <v>43</v>
      </c>
      <c r="B9" s="2">
        <f>A!$B$11</f>
        <v>83</v>
      </c>
      <c r="C9" s="2">
        <f>A!$P18</f>
        <v>83</v>
      </c>
      <c r="D9" s="2"/>
    </row>
    <row r="10" spans="1:12" ht="15.75">
      <c r="A10" s="2" t="s">
        <v>156</v>
      </c>
      <c r="B10" s="2">
        <f>A!$B$12</f>
        <v>32</v>
      </c>
      <c r="C10" s="2">
        <f>A!$P19</f>
        <v>32</v>
      </c>
      <c r="D10" s="2"/>
      <c r="F10" t="s">
        <v>137</v>
      </c>
      <c r="H10">
        <f>SUM(H3:H6)</f>
        <v>-1.07807</v>
      </c>
      <c r="I10">
        <f>SUM(I3:I6)</f>
        <v>-1.07807</v>
      </c>
      <c r="K10">
        <f>SUM(K3:K6)</f>
        <v>-1.366526146</v>
      </c>
      <c r="L10">
        <f>SUM(L3:L6)</f>
        <v>-1.366526146</v>
      </c>
    </row>
    <row r="11" spans="1:12" ht="15.75">
      <c r="A11" s="2" t="s">
        <v>157</v>
      </c>
      <c r="B11" s="2">
        <f>A!$B$13</f>
        <v>9.2</v>
      </c>
      <c r="C11" s="2">
        <f>A!$D13</f>
        <v>9.2</v>
      </c>
      <c r="D11" s="2"/>
      <c r="F11" t="s">
        <v>151</v>
      </c>
      <c r="H11">
        <f>EXP(H10)</f>
        <v>0.34025157789621224</v>
      </c>
      <c r="I11">
        <f>EXP(I10)</f>
        <v>0.34025157789621224</v>
      </c>
      <c r="K11">
        <f>EXP(K10)</f>
        <v>0.2549912250460298</v>
      </c>
      <c r="L11">
        <f>EXP(L10)</f>
        <v>0.2549912250460298</v>
      </c>
    </row>
    <row r="12" spans="1:4" ht="15.75">
      <c r="A12" s="2" t="s">
        <v>67</v>
      </c>
      <c r="B12" s="2">
        <f>A!$B$14</f>
        <v>1.53</v>
      </c>
      <c r="C12" s="2">
        <f>A!$D14</f>
        <v>1.53</v>
      </c>
      <c r="D12" s="2"/>
    </row>
    <row r="13" spans="1:11" ht="15.75">
      <c r="A13" s="2"/>
      <c r="B13" s="2"/>
      <c r="C13" s="2"/>
      <c r="D13" s="2" t="s">
        <v>135</v>
      </c>
      <c r="E13" s="2"/>
      <c r="F13" t="s">
        <v>141</v>
      </c>
      <c r="H13">
        <f>A!K10</f>
        <v>0.444</v>
      </c>
      <c r="K13">
        <f>A!L10</f>
        <v>0.556</v>
      </c>
    </row>
    <row r="14" spans="1:5" ht="15.75">
      <c r="A14" s="2" t="s">
        <v>23</v>
      </c>
      <c r="B14" s="2"/>
      <c r="C14" s="2"/>
      <c r="D14" s="2">
        <f>H15</f>
        <v>0</v>
      </c>
      <c r="E14" s="2"/>
    </row>
    <row r="15" spans="1:11" ht="15.75">
      <c r="A15" s="2" t="s">
        <v>161</v>
      </c>
      <c r="B15" s="2">
        <f>A!B24</f>
        <v>9.7</v>
      </c>
      <c r="C15" s="2">
        <f>B15+B15*D15/100</f>
        <v>9.7</v>
      </c>
      <c r="D15" s="2">
        <f>H17</f>
        <v>0</v>
      </c>
      <c r="E15" s="2"/>
      <c r="F15" t="s">
        <v>142</v>
      </c>
      <c r="H15">
        <f>(I11/H11-1)*100</f>
        <v>0</v>
      </c>
      <c r="K15">
        <f>(L11/K11-1)*100</f>
        <v>0</v>
      </c>
    </row>
    <row r="16" spans="1:5" ht="15.75">
      <c r="A16" s="2" t="s">
        <v>24</v>
      </c>
      <c r="B16" s="2"/>
      <c r="C16" s="2"/>
      <c r="D16" s="2">
        <f>K15</f>
        <v>0</v>
      </c>
      <c r="E16" s="2"/>
    </row>
    <row r="17" spans="1:8" ht="15.75">
      <c r="A17" s="2"/>
      <c r="B17" s="2"/>
      <c r="C17" s="2"/>
      <c r="D17" s="2"/>
      <c r="E17" s="2"/>
      <c r="F17" t="s">
        <v>143</v>
      </c>
      <c r="H17">
        <f>H15*H13+K15*K13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5" ht="15.75">
      <c r="A19" s="2"/>
      <c r="B19" s="2"/>
      <c r="C19" s="2"/>
      <c r="D19" s="2"/>
      <c r="E19" s="2"/>
    </row>
    <row r="20" spans="1:5" ht="15.75">
      <c r="A20" s="2"/>
      <c r="B20" s="2"/>
      <c r="C20" s="2"/>
      <c r="D20" s="2"/>
      <c r="E20" s="2"/>
    </row>
    <row r="21" spans="1:5" ht="15.75">
      <c r="A21" t="s">
        <v>162</v>
      </c>
      <c r="D21" s="2"/>
      <c r="E21" s="2"/>
    </row>
    <row r="23" spans="2:3" ht="15.75">
      <c r="B23" t="s">
        <v>126</v>
      </c>
      <c r="C23" t="s">
        <v>127</v>
      </c>
    </row>
    <row r="24" spans="1:3" ht="15.75">
      <c r="A24" t="s">
        <v>116</v>
      </c>
      <c r="B24">
        <v>0</v>
      </c>
      <c r="C24">
        <f>A!D4</f>
        <v>0</v>
      </c>
    </row>
    <row r="25" spans="1:45" ht="15.75">
      <c r="A25" t="s">
        <v>117</v>
      </c>
      <c r="B25">
        <v>0</v>
      </c>
      <c r="C25">
        <f>A!D5</f>
        <v>0</v>
      </c>
      <c r="AS25" s="16"/>
    </row>
    <row r="26" spans="1:45" ht="15.75">
      <c r="A26" t="s">
        <v>118</v>
      </c>
      <c r="B26">
        <v>0</v>
      </c>
      <c r="C26">
        <f>A!D6</f>
        <v>0</v>
      </c>
      <c r="AS26" s="37"/>
    </row>
    <row r="27" spans="1:3" ht="15.75">
      <c r="A27" t="s">
        <v>119</v>
      </c>
      <c r="B27">
        <v>0</v>
      </c>
      <c r="C27">
        <f>A!D7</f>
        <v>0</v>
      </c>
    </row>
    <row r="87" spans="5:44" ht="15.75">
      <c r="E87" s="8"/>
      <c r="I87" s="8"/>
      <c r="M87" s="8"/>
      <c r="Q87" s="8"/>
      <c r="U87" s="8"/>
      <c r="Y87" s="8"/>
      <c r="AC87" s="8"/>
      <c r="AF87" s="8"/>
      <c r="AK87" s="8"/>
      <c r="AO87" s="8"/>
      <c r="AR87" s="8"/>
    </row>
  </sheetData>
  <sheetProtection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S87"/>
  <sheetViews>
    <sheetView showGridLines="0" zoomScalePageLayoutView="0" workbookViewId="0" topLeftCell="A1">
      <selection activeCell="A1" sqref="A1"/>
    </sheetView>
  </sheetViews>
  <sheetFormatPr defaultColWidth="9.77734375" defaultRowHeight="15.75"/>
  <cols>
    <col min="1" max="1" width="18.77734375" style="0" customWidth="1"/>
    <col min="2" max="2" width="15.77734375" style="0" customWidth="1"/>
    <col min="3" max="4" width="9.77734375" style="0" customWidth="1"/>
    <col min="5" max="5" width="15.77734375" style="0" customWidth="1"/>
    <col min="6" max="6" width="9.77734375" style="0" customWidth="1"/>
    <col min="7" max="7" width="15.77734375" style="0" customWidth="1"/>
    <col min="8" max="9" width="9.77734375" style="0" customWidth="1"/>
    <col min="10" max="10" width="12.77734375" style="0" customWidth="1"/>
    <col min="11" max="39" width="9.77734375" style="0" customWidth="1"/>
    <col min="40" max="40" width="10.77734375" style="0" customWidth="1"/>
    <col min="41" max="44" width="9.77734375" style="0" customWidth="1"/>
    <col min="45" max="47" width="15.77734375" style="0" customWidth="1"/>
  </cols>
  <sheetData>
    <row r="1" spans="1:12" ht="15.75">
      <c r="A1" s="2"/>
      <c r="B1" s="2"/>
      <c r="C1" s="2"/>
      <c r="D1" s="2"/>
      <c r="E1" s="2"/>
      <c r="G1" t="s">
        <v>120</v>
      </c>
      <c r="H1" s="10" t="s">
        <v>121</v>
      </c>
      <c r="I1" s="10" t="s">
        <v>122</v>
      </c>
      <c r="J1" t="s">
        <v>123</v>
      </c>
      <c r="K1" s="10" t="s">
        <v>121</v>
      </c>
      <c r="L1" s="10" t="s">
        <v>122</v>
      </c>
    </row>
    <row r="2" spans="1:5" ht="15.75">
      <c r="A2" s="2" t="s">
        <v>163</v>
      </c>
      <c r="B2" s="2"/>
      <c r="C2" s="2"/>
      <c r="D2" s="2"/>
      <c r="E2" s="2"/>
    </row>
    <row r="3" spans="1:12" ht="15.75">
      <c r="A3" s="12" t="s">
        <v>125</v>
      </c>
      <c r="B3" s="12" t="s">
        <v>125</v>
      </c>
      <c r="C3" s="12" t="s">
        <v>125</v>
      </c>
      <c r="D3" s="2"/>
      <c r="E3" s="2"/>
      <c r="F3" t="s">
        <v>128</v>
      </c>
      <c r="G3">
        <v>0.00026308</v>
      </c>
      <c r="H3">
        <f>G3*$B6</f>
        <v>0.08918412</v>
      </c>
      <c r="I3">
        <f>G3*$C6</f>
        <v>0.08918412</v>
      </c>
      <c r="J3">
        <v>0.00026265</v>
      </c>
      <c r="K3">
        <f>J3*$B6</f>
        <v>0.08903835</v>
      </c>
      <c r="L3">
        <f>J3*$C6</f>
        <v>0.08903835</v>
      </c>
    </row>
    <row r="4" spans="1:12" ht="15.75">
      <c r="A4" s="2"/>
      <c r="B4" s="2" t="s">
        <v>126</v>
      </c>
      <c r="C4" s="2" t="s">
        <v>127</v>
      </c>
      <c r="D4" s="2"/>
      <c r="E4" s="2"/>
      <c r="F4" t="s">
        <v>114</v>
      </c>
      <c r="G4">
        <v>0.039786</v>
      </c>
      <c r="H4">
        <f>G4*$B7</f>
        <v>0.3461382</v>
      </c>
      <c r="I4">
        <f>G4*$C7</f>
        <v>0.3461382</v>
      </c>
      <c r="J4">
        <v>0</v>
      </c>
      <c r="K4">
        <f>J4*$B7</f>
        <v>0</v>
      </c>
      <c r="L4">
        <f>J4*$C7</f>
        <v>0</v>
      </c>
    </row>
    <row r="5" spans="1:12" ht="15.75">
      <c r="A5" s="2" t="s">
        <v>76</v>
      </c>
      <c r="B5" s="2">
        <f>A!$P$12</f>
        <v>0</v>
      </c>
      <c r="C5" s="2">
        <f>A!$Q12</f>
        <v>0</v>
      </c>
      <c r="D5" s="2"/>
      <c r="E5" s="2"/>
      <c r="F5" t="s">
        <v>43</v>
      </c>
      <c r="G5">
        <v>-0.012172</v>
      </c>
      <c r="H5">
        <f>G5*$B9</f>
        <v>-1.010276</v>
      </c>
      <c r="I5">
        <f>G5*$C9</f>
        <v>-1.010276</v>
      </c>
      <c r="J5">
        <v>-0.01215727</v>
      </c>
      <c r="K5">
        <f>J5*$B9</f>
        <v>-1.00905341</v>
      </c>
      <c r="L5">
        <f>J5*$C9</f>
        <v>-1.00905341</v>
      </c>
    </row>
    <row r="6" spans="1:12" ht="15.75">
      <c r="A6" s="2" t="s">
        <v>44</v>
      </c>
      <c r="B6" s="2">
        <f>A!$B$8</f>
        <v>339</v>
      </c>
      <c r="C6" s="2">
        <f>A!$D8</f>
        <v>339</v>
      </c>
      <c r="D6" s="2"/>
      <c r="E6" s="2"/>
      <c r="F6" t="s">
        <v>129</v>
      </c>
      <c r="G6">
        <v>-0.0055252</v>
      </c>
      <c r="H6">
        <f>G6*$B10</f>
        <v>-0.1768064</v>
      </c>
      <c r="I6">
        <f>G6*$C10</f>
        <v>-0.1768064</v>
      </c>
      <c r="J6">
        <v>-0.00554762</v>
      </c>
      <c r="K6">
        <f>J6*$B10</f>
        <v>-0.17752384</v>
      </c>
      <c r="L6">
        <f>J6*$C10</f>
        <v>-0.17752384</v>
      </c>
    </row>
    <row r="7" spans="1:12" ht="15.75">
      <c r="A7" s="2" t="s">
        <v>154</v>
      </c>
      <c r="B7" s="2">
        <f>A!$B$9</f>
        <v>8.7</v>
      </c>
      <c r="C7" s="2">
        <f>A!$D9</f>
        <v>8.7</v>
      </c>
      <c r="D7" s="2"/>
      <c r="E7" s="2"/>
      <c r="F7" t="s">
        <v>116</v>
      </c>
      <c r="G7">
        <v>-0.0095944</v>
      </c>
      <c r="H7">
        <f>G7*$B24</f>
        <v>0</v>
      </c>
      <c r="I7">
        <f>G7*$C24</f>
        <v>0</v>
      </c>
      <c r="J7">
        <v>-0.05598039</v>
      </c>
      <c r="K7">
        <f>J7*$B24</f>
        <v>0</v>
      </c>
      <c r="L7">
        <f>J7*$C24</f>
        <v>0</v>
      </c>
    </row>
    <row r="8" spans="1:12" ht="15.75">
      <c r="A8" s="2" t="s">
        <v>32</v>
      </c>
      <c r="B8" s="2">
        <f>A!$B$10</f>
        <v>41</v>
      </c>
      <c r="C8" s="2">
        <f>A!$D10</f>
        <v>41</v>
      </c>
      <c r="D8" s="2"/>
      <c r="E8" s="2"/>
      <c r="F8" t="s">
        <v>117</v>
      </c>
      <c r="G8">
        <v>0.31658</v>
      </c>
      <c r="H8">
        <f>G8*$B25</f>
        <v>0</v>
      </c>
      <c r="I8">
        <f>G8*$C25</f>
        <v>0</v>
      </c>
      <c r="J8">
        <v>0.3164665</v>
      </c>
      <c r="K8">
        <f>J8*$B25</f>
        <v>0</v>
      </c>
      <c r="L8">
        <f>J8*$C25</f>
        <v>0</v>
      </c>
    </row>
    <row r="9" spans="1:12" ht="15.75">
      <c r="A9" s="2" t="s">
        <v>43</v>
      </c>
      <c r="B9" s="2">
        <f>A!$B$11</f>
        <v>83</v>
      </c>
      <c r="C9" s="2">
        <f>A!$P18</f>
        <v>83</v>
      </c>
      <c r="D9" s="2"/>
      <c r="E9" s="2"/>
      <c r="F9" t="s">
        <v>118</v>
      </c>
      <c r="G9">
        <v>0.24925</v>
      </c>
      <c r="H9">
        <f>G9*$B26</f>
        <v>0</v>
      </c>
      <c r="I9">
        <f>G9*$C26</f>
        <v>0</v>
      </c>
      <c r="J9">
        <v>0.2493259</v>
      </c>
      <c r="K9">
        <f>J9*$B26</f>
        <v>0</v>
      </c>
      <c r="L9">
        <f>J9*$C26</f>
        <v>0</v>
      </c>
    </row>
    <row r="10" spans="1:5" ht="15.75">
      <c r="A10" s="2" t="s">
        <v>156</v>
      </c>
      <c r="B10" s="2">
        <f>A!$B$12</f>
        <v>32</v>
      </c>
      <c r="C10" s="2">
        <f>A!$P19</f>
        <v>32</v>
      </c>
      <c r="D10" s="2"/>
      <c r="E10" s="2"/>
    </row>
    <row r="11" spans="1:5" ht="15.75">
      <c r="A11" s="2" t="s">
        <v>157</v>
      </c>
      <c r="B11" s="2">
        <f>A!$B$13</f>
        <v>9.2</v>
      </c>
      <c r="C11" s="2">
        <f>A!$D13</f>
        <v>9.2</v>
      </c>
      <c r="D11" s="2"/>
      <c r="E11" s="2"/>
    </row>
    <row r="12" spans="1:12" ht="15.75">
      <c r="A12" s="2" t="s">
        <v>67</v>
      </c>
      <c r="B12" s="2">
        <f>A!$B$14</f>
        <v>1.53</v>
      </c>
      <c r="C12" s="2">
        <f>A!$D14</f>
        <v>1.53</v>
      </c>
      <c r="D12" s="2"/>
      <c r="E12" s="2"/>
      <c r="F12" t="s">
        <v>137</v>
      </c>
      <c r="H12">
        <f>SUM(H3:H10)</f>
        <v>-0.7517600799999999</v>
      </c>
      <c r="I12">
        <f>SUM(I3:I10)</f>
        <v>-0.7517600799999999</v>
      </c>
      <c r="K12">
        <f>SUM(K3:K10)</f>
        <v>-1.0975389</v>
      </c>
      <c r="L12">
        <f>SUM(L3:L10)</f>
        <v>-1.0975389</v>
      </c>
    </row>
    <row r="13" spans="1:12" ht="15.75">
      <c r="A13" s="2"/>
      <c r="B13" s="2"/>
      <c r="C13" s="2"/>
      <c r="D13" s="2" t="s">
        <v>135</v>
      </c>
      <c r="E13" s="2"/>
      <c r="F13" t="s">
        <v>151</v>
      </c>
      <c r="H13">
        <f>EXP(H12)</f>
        <v>0.4715358810576181</v>
      </c>
      <c r="I13">
        <f>EXP(I12)</f>
        <v>0.4715358810576181</v>
      </c>
      <c r="K13">
        <f>EXP(K12)</f>
        <v>0.3336913216519671</v>
      </c>
      <c r="L13">
        <f>EXP(L12)</f>
        <v>0.3336913216519671</v>
      </c>
    </row>
    <row r="14" spans="1:5" ht="15.75">
      <c r="A14" s="2" t="s">
        <v>23</v>
      </c>
      <c r="B14" s="2"/>
      <c r="C14" s="2"/>
      <c r="D14" s="2">
        <f>H17</f>
        <v>0</v>
      </c>
      <c r="E14" s="2"/>
    </row>
    <row r="15" spans="1:11" ht="15.75">
      <c r="A15" s="2" t="s">
        <v>161</v>
      </c>
      <c r="B15" s="2">
        <f>A!B23</f>
        <v>4.44</v>
      </c>
      <c r="C15" s="2">
        <f>B15+B15*D15/100</f>
        <v>4.44</v>
      </c>
      <c r="D15" s="2">
        <f>H19</f>
        <v>0</v>
      </c>
      <c r="E15" s="2"/>
      <c r="F15" t="s">
        <v>141</v>
      </c>
      <c r="H15">
        <f>A!K10</f>
        <v>0.444</v>
      </c>
      <c r="K15">
        <f>A!L10</f>
        <v>0.556</v>
      </c>
    </row>
    <row r="16" spans="1:5" ht="15.75">
      <c r="A16" s="2" t="s">
        <v>24</v>
      </c>
      <c r="B16" s="2"/>
      <c r="C16" s="2"/>
      <c r="D16" s="2">
        <f>K17</f>
        <v>0</v>
      </c>
      <c r="E16" s="2"/>
    </row>
    <row r="17" spans="1:11" ht="15.75">
      <c r="A17" s="2"/>
      <c r="B17" s="2"/>
      <c r="C17" s="2"/>
      <c r="D17" s="2"/>
      <c r="E17" s="2"/>
      <c r="F17" t="s">
        <v>142</v>
      </c>
      <c r="H17">
        <f>(I13/H13-1)*100</f>
        <v>0</v>
      </c>
      <c r="K17">
        <f>(L13/K13-1)*100</f>
        <v>0</v>
      </c>
    </row>
    <row r="18" spans="1:5" ht="15.75">
      <c r="A18" s="12" t="s">
        <v>125</v>
      </c>
      <c r="B18" s="12" t="s">
        <v>125</v>
      </c>
      <c r="C18" s="12" t="s">
        <v>125</v>
      </c>
      <c r="D18" s="2"/>
      <c r="E18" s="2"/>
    </row>
    <row r="19" spans="1:8" ht="15.75">
      <c r="A19" s="2"/>
      <c r="B19" s="2"/>
      <c r="C19" s="2"/>
      <c r="D19" s="2"/>
      <c r="E19" s="2"/>
      <c r="F19" t="s">
        <v>143</v>
      </c>
      <c r="H19">
        <f>H17*H15+K17*K15</f>
        <v>0</v>
      </c>
    </row>
    <row r="20" spans="1:5" ht="15.75">
      <c r="A20" s="2"/>
      <c r="B20" s="2"/>
      <c r="C20" s="2"/>
      <c r="D20" s="2"/>
      <c r="E20" s="2"/>
    </row>
    <row r="21" spans="1:5" ht="15.75">
      <c r="A21" t="s">
        <v>162</v>
      </c>
      <c r="D21" s="2"/>
      <c r="E21" s="2"/>
    </row>
    <row r="23" spans="2:3" ht="15.75">
      <c r="B23" t="s">
        <v>126</v>
      </c>
      <c r="C23" t="s">
        <v>127</v>
      </c>
    </row>
    <row r="24" spans="1:3" ht="15.75">
      <c r="A24" t="s">
        <v>116</v>
      </c>
      <c r="B24">
        <v>0</v>
      </c>
      <c r="C24">
        <f>A!D4</f>
        <v>0</v>
      </c>
    </row>
    <row r="25" spans="1:45" ht="15.75">
      <c r="A25" t="s">
        <v>117</v>
      </c>
      <c r="B25">
        <v>0</v>
      </c>
      <c r="C25">
        <f>A!D5</f>
        <v>0</v>
      </c>
      <c r="AS25" s="16"/>
    </row>
    <row r="26" spans="1:45" ht="15.75">
      <c r="A26" t="s">
        <v>118</v>
      </c>
      <c r="B26">
        <v>0</v>
      </c>
      <c r="C26">
        <f>A!D6</f>
        <v>0</v>
      </c>
      <c r="AS26" s="37"/>
    </row>
    <row r="27" spans="1:3" ht="15.75">
      <c r="A27" t="s">
        <v>119</v>
      </c>
      <c r="B27">
        <v>0</v>
      </c>
      <c r="C27">
        <f>A!D7</f>
        <v>0</v>
      </c>
    </row>
    <row r="87" spans="5:44" ht="15.75">
      <c r="E87" s="8"/>
      <c r="I87" s="8"/>
      <c r="M87" s="8"/>
      <c r="Q87" s="8"/>
      <c r="U87" s="8"/>
      <c r="Y87" s="8"/>
      <c r="AC87" s="8"/>
      <c r="AF87" s="8"/>
      <c r="AK87" s="8"/>
      <c r="AN87" s="8"/>
      <c r="AR87" s="8"/>
    </row>
  </sheetData>
  <sheetProtection/>
  <printOptions/>
  <pageMargins left="0.5" right="0.5" top="0.5" bottom="0.55" header="0.5" footer="0.5"/>
  <pageSetup orientation="portrait" paperSize="9" scale="83"/>
  <headerFooter alignWithMargins="0">
    <oddFooter>&amp;L^&amp;D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T58"/>
  <sheetViews>
    <sheetView showGridLines="0" zoomScalePageLayoutView="0" workbookViewId="0" topLeftCell="A1">
      <selection activeCell="C6" sqref="C6"/>
    </sheetView>
  </sheetViews>
  <sheetFormatPr defaultColWidth="9.77734375" defaultRowHeight="15.75"/>
  <cols>
    <col min="1" max="3" width="9.77734375" style="0" customWidth="1"/>
    <col min="4" max="4" width="10.77734375" style="0" customWidth="1"/>
    <col min="5" max="8" width="9.77734375" style="0" customWidth="1"/>
    <col min="9" max="9" width="15.77734375" style="0" customWidth="1"/>
  </cols>
  <sheetData>
    <row r="1" ht="15.75">
      <c r="A1" s="16" t="s">
        <v>164</v>
      </c>
    </row>
    <row r="2" ht="15.75">
      <c r="A2" t="s">
        <v>165</v>
      </c>
    </row>
    <row r="3" ht="15.75">
      <c r="A3" t="s">
        <v>166</v>
      </c>
    </row>
    <row r="4" spans="10:15" ht="15.75">
      <c r="J4" s="16" t="s">
        <v>167</v>
      </c>
      <c r="K4" s="16"/>
      <c r="L4" s="20" t="s">
        <v>168</v>
      </c>
      <c r="M4" s="16"/>
      <c r="N4" s="20" t="s">
        <v>169</v>
      </c>
      <c r="O4" s="16"/>
    </row>
    <row r="5" spans="12:14" ht="15.75">
      <c r="L5" s="18"/>
      <c r="N5" s="18"/>
    </row>
    <row r="6" spans="10:15" ht="15.75">
      <c r="J6" s="19" t="s">
        <v>170</v>
      </c>
      <c r="K6" s="19" t="s">
        <v>171</v>
      </c>
      <c r="L6" s="24" t="s">
        <v>170</v>
      </c>
      <c r="M6" s="19" t="s">
        <v>171</v>
      </c>
      <c r="N6" s="24" t="s">
        <v>170</v>
      </c>
      <c r="O6" s="19" t="s">
        <v>171</v>
      </c>
    </row>
    <row r="7" spans="5:14" ht="15.75">
      <c r="E7" s="11" t="s">
        <v>89</v>
      </c>
      <c r="F7" t="s">
        <v>87</v>
      </c>
      <c r="G7" t="s">
        <v>88</v>
      </c>
      <c r="L7" s="18"/>
      <c r="N7" s="18"/>
    </row>
    <row r="8" spans="1:15" ht="15.75">
      <c r="A8" t="s">
        <v>94</v>
      </c>
      <c r="B8" t="s">
        <v>172</v>
      </c>
      <c r="C8" t="s">
        <v>173</v>
      </c>
      <c r="D8" t="s">
        <v>174</v>
      </c>
      <c r="E8" t="s">
        <v>175</v>
      </c>
      <c r="F8" t="s">
        <v>175</v>
      </c>
      <c r="G8" t="s">
        <v>175</v>
      </c>
      <c r="I8" t="s">
        <v>176</v>
      </c>
      <c r="J8">
        <f>A!$P$12</f>
        <v>0</v>
      </c>
      <c r="K8">
        <f>A!$P$12</f>
        <v>0</v>
      </c>
      <c r="L8" s="18">
        <v>2</v>
      </c>
      <c r="M8">
        <v>2</v>
      </c>
      <c r="N8" s="18">
        <f>A!D4</f>
        <v>0</v>
      </c>
      <c r="O8">
        <f>A!D4</f>
        <v>0</v>
      </c>
    </row>
    <row r="9" spans="9:15" ht="15.75">
      <c r="I9" t="s">
        <v>177</v>
      </c>
      <c r="J9">
        <f>A!$B$14</f>
        <v>1.53</v>
      </c>
      <c r="K9">
        <f>A!$B$14</f>
        <v>1.53</v>
      </c>
      <c r="L9" s="18">
        <v>1</v>
      </c>
      <c r="M9">
        <f>L9</f>
        <v>1</v>
      </c>
      <c r="N9" s="18">
        <f>A!D14</f>
        <v>1.53</v>
      </c>
      <c r="O9">
        <f>A!D14</f>
        <v>1.53</v>
      </c>
    </row>
    <row r="10" spans="1:15" ht="15.75">
      <c r="A10" t="s">
        <v>95</v>
      </c>
      <c r="B10" t="s">
        <v>178</v>
      </c>
      <c r="C10" t="s">
        <v>179</v>
      </c>
      <c r="D10" t="s">
        <v>180</v>
      </c>
      <c r="E10" s="2">
        <f>IF(A!$G$5=1,F10,G10)</f>
        <v>0.006654486</v>
      </c>
      <c r="F10" s="2">
        <v>0.01556947</v>
      </c>
      <c r="G10" s="2">
        <f>0.014039*0.474</f>
        <v>0.006654486</v>
      </c>
      <c r="I10" t="s">
        <v>154</v>
      </c>
      <c r="J10">
        <f>A!$B$9</f>
        <v>8.7</v>
      </c>
      <c r="K10">
        <f>A!$B$9</f>
        <v>8.7</v>
      </c>
      <c r="L10" s="18">
        <v>8.7</v>
      </c>
      <c r="M10">
        <v>8.7</v>
      </c>
      <c r="N10" s="18">
        <f>A!D9</f>
        <v>8.7</v>
      </c>
      <c r="O10">
        <f>A!D9</f>
        <v>8.7</v>
      </c>
    </row>
    <row r="11" spans="1:14" ht="15.75">
      <c r="A11" t="s">
        <v>95</v>
      </c>
      <c r="B11" t="s">
        <v>178</v>
      </c>
      <c r="C11" t="s">
        <v>179</v>
      </c>
      <c r="D11" t="s">
        <v>181</v>
      </c>
      <c r="E11" s="2">
        <f>IF(A!$G$5=1,F11,G11)</f>
        <v>-0.08093550000000001</v>
      </c>
      <c r="F11" s="2">
        <v>-0.1671019</v>
      </c>
      <c r="G11" s="2">
        <f>-0.17075*0.474</f>
        <v>-0.08093550000000001</v>
      </c>
      <c r="L11" s="18"/>
      <c r="N11" s="18"/>
    </row>
    <row r="12" spans="1:14" ht="15.75">
      <c r="A12" t="s">
        <v>95</v>
      </c>
      <c r="B12" t="s">
        <v>178</v>
      </c>
      <c r="C12" t="s">
        <v>179</v>
      </c>
      <c r="D12" t="s">
        <v>182</v>
      </c>
      <c r="E12" s="2">
        <f>IF(A!$G$5=1,F12,G12)</f>
        <v>0.28457538</v>
      </c>
      <c r="F12" s="2">
        <v>0.5399408</v>
      </c>
      <c r="G12" s="2">
        <f>0.60037*0.474</f>
        <v>0.28457538</v>
      </c>
      <c r="L12" s="18"/>
      <c r="N12" s="18"/>
    </row>
    <row r="13" spans="1:14" ht="15.75">
      <c r="A13" t="s">
        <v>95</v>
      </c>
      <c r="B13" t="s">
        <v>183</v>
      </c>
      <c r="C13" t="s">
        <v>179</v>
      </c>
      <c r="D13" t="s">
        <v>180</v>
      </c>
      <c r="E13" s="2">
        <f>IF(A!$G$5=1,F13,G13)</f>
        <v>0.007384514</v>
      </c>
      <c r="F13" s="2">
        <v>0.00736053</v>
      </c>
      <c r="G13" s="2">
        <f>0.014039*0.526</f>
        <v>0.007384514</v>
      </c>
      <c r="I13" t="s">
        <v>184</v>
      </c>
      <c r="L13" s="18"/>
      <c r="N13" s="18"/>
    </row>
    <row r="14" spans="1:14" ht="15.75">
      <c r="A14" t="s">
        <v>95</v>
      </c>
      <c r="B14" t="s">
        <v>183</v>
      </c>
      <c r="C14" t="s">
        <v>179</v>
      </c>
      <c r="D14" t="s">
        <v>181</v>
      </c>
      <c r="E14" s="2">
        <f>IF(A!$G$5=1,F14,G14)</f>
        <v>-0.0898145</v>
      </c>
      <c r="F14" s="2">
        <v>-0.0789981</v>
      </c>
      <c r="G14" s="2">
        <f>-0.17075*0.526</f>
        <v>-0.0898145</v>
      </c>
      <c r="L14" s="18"/>
      <c r="N14" s="18"/>
    </row>
    <row r="15" spans="1:15" ht="15.75">
      <c r="A15" t="s">
        <v>95</v>
      </c>
      <c r="B15" t="s">
        <v>183</v>
      </c>
      <c r="C15" t="s">
        <v>179</v>
      </c>
      <c r="D15" t="s">
        <v>182</v>
      </c>
      <c r="E15" s="2">
        <f>IF(A!$G$5=1,F15,G15)</f>
        <v>0.31579461999999997</v>
      </c>
      <c r="F15" s="2">
        <v>0.2552592</v>
      </c>
      <c r="G15" s="2">
        <f>0.60037*0.526</f>
        <v>0.31579461999999997</v>
      </c>
      <c r="I15" t="s">
        <v>185</v>
      </c>
      <c r="J15" s="9">
        <f>$E$10*J$10^2+$E$11*J$10+$E$12</f>
        <v>0.08411457533999994</v>
      </c>
      <c r="K15" s="9">
        <f>$E$35*K$10^2+$E$36*K$10+$E$37</f>
        <v>0.08096847919999994</v>
      </c>
      <c r="L15" s="38">
        <f>$E$10*L$10^2+$E$11*L$10+$E$12</f>
        <v>0.08411457533999994</v>
      </c>
      <c r="M15" s="9">
        <f>$E$35*M$10^2+$E$36*M$10+$E$37</f>
        <v>0.08096847919999994</v>
      </c>
      <c r="N15" s="38">
        <f>$E$10*N$10^2+$E$11*N$10+$E$12</f>
        <v>0.08411457533999994</v>
      </c>
      <c r="O15" s="9">
        <f>$E$35*O$10^2+$E$36*O$10+$E$37</f>
        <v>0.08096847919999994</v>
      </c>
    </row>
    <row r="16" spans="1:15" ht="15.75">
      <c r="A16" t="s">
        <v>95</v>
      </c>
      <c r="B16" t="s">
        <v>186</v>
      </c>
      <c r="C16" t="s">
        <v>179</v>
      </c>
      <c r="D16" t="s">
        <v>180</v>
      </c>
      <c r="E16" s="2">
        <f>IF(A!$G$5=1,F16,G16)</f>
        <v>0.017768</v>
      </c>
      <c r="F16" s="2">
        <v>0.002791</v>
      </c>
      <c r="G16" s="2">
        <v>0.017768</v>
      </c>
      <c r="I16" t="s">
        <v>187</v>
      </c>
      <c r="J16" s="9">
        <f>$E$13*J$10^2+$E$14*J$10+$E$15</f>
        <v>0.0933423346599998</v>
      </c>
      <c r="K16" s="9">
        <f>$E$38*K$10^2+$E$39*K$10+$E$40</f>
        <v>0.06361809079999992</v>
      </c>
      <c r="L16" s="38">
        <f>$E$13*L$10^2+$E$14*L$10+$E$15</f>
        <v>0.0933423346599998</v>
      </c>
      <c r="M16" s="9">
        <f>$E$38*M$10^2+$E$39*M$10+$E$40</f>
        <v>0.06361809079999992</v>
      </c>
      <c r="N16" s="38">
        <f>$E$13*N$10^2+$E$14*N$10+$E$15</f>
        <v>0.0933423346599998</v>
      </c>
      <c r="O16" s="9">
        <f>$E$38*O$10^2+$E$39*O$10+$E$40</f>
        <v>0.06361809079999992</v>
      </c>
    </row>
    <row r="17" spans="1:20" ht="15.75">
      <c r="A17" t="s">
        <v>95</v>
      </c>
      <c r="B17" t="s">
        <v>186</v>
      </c>
      <c r="C17" t="s">
        <v>179</v>
      </c>
      <c r="D17" t="s">
        <v>181</v>
      </c>
      <c r="E17" s="2">
        <f>IF(A!$G$5=1,F17,G17)</f>
        <v>-0.18746</v>
      </c>
      <c r="F17" s="2">
        <v>0.1096</v>
      </c>
      <c r="G17" s="2">
        <v>-0.18746</v>
      </c>
      <c r="I17" t="s">
        <v>188</v>
      </c>
      <c r="J17" s="9">
        <f>$E$16*J$10^2+$E$17*J$10+$E$18</f>
        <v>0.32852491999999966</v>
      </c>
      <c r="K17" s="9">
        <f>$E$41*K$10^2+$E$42*K$10+$E$43</f>
        <v>0.29414960999999984</v>
      </c>
      <c r="L17" s="38">
        <f>$E$16*L$10^2+$E$17*L$10+$E$18</f>
        <v>0.32852491999999966</v>
      </c>
      <c r="M17" s="9">
        <f>$E$41*M$10^2+$E$42*M$10+$E$43</f>
        <v>0.29414960999999984</v>
      </c>
      <c r="N17" s="38">
        <f>$E$16*N$10^2+$E$17*N$10+$E$18</f>
        <v>0.32852491999999966</v>
      </c>
      <c r="O17" s="9">
        <f>$E$41*O$10^2+$E$42*O$10+$E$43</f>
        <v>0.29414960999999984</v>
      </c>
      <c r="S17" s="5"/>
      <c r="T17" s="5"/>
    </row>
    <row r="18" spans="1:20" ht="15.75">
      <c r="A18" t="s">
        <v>95</v>
      </c>
      <c r="B18" t="s">
        <v>186</v>
      </c>
      <c r="C18" t="s">
        <v>179</v>
      </c>
      <c r="D18" t="s">
        <v>182</v>
      </c>
      <c r="E18" s="2">
        <f>IF(A!$G$5=1,F18,G18)</f>
        <v>0.614567</v>
      </c>
      <c r="F18" s="2">
        <v>-0.734</v>
      </c>
      <c r="G18" s="2">
        <v>0.614567</v>
      </c>
      <c r="I18" t="s">
        <v>189</v>
      </c>
      <c r="J18" s="9">
        <f>$E$19*J$10^2+$E$20*J$10+$E$21</f>
        <v>0.0533319</v>
      </c>
      <c r="K18" s="9">
        <f>$E$44*K$10^2+$E$45*K$10+$E$46</f>
        <v>0.0533319</v>
      </c>
      <c r="L18" s="38">
        <f>$E$19*L$10^2+$E$20*L$10+$E$21</f>
        <v>0.0533319</v>
      </c>
      <c r="M18" s="9">
        <f>$E$44*M$10^2+$E$45*M$10+$E$46</f>
        <v>0.0533319</v>
      </c>
      <c r="N18" s="38">
        <f>$E$19*N$10^2+$E$20*N$10+$E$21</f>
        <v>0.0533319</v>
      </c>
      <c r="O18" s="9">
        <f>$E$44*O$10^2+$E$45*O$10+$E$46</f>
        <v>0.0533319</v>
      </c>
      <c r="S18" s="5"/>
      <c r="T18" s="5"/>
    </row>
    <row r="19" spans="1:20" ht="15.75">
      <c r="A19" t="s">
        <v>95</v>
      </c>
      <c r="B19" t="s">
        <v>190</v>
      </c>
      <c r="C19" t="s">
        <v>179</v>
      </c>
      <c r="D19" t="s">
        <v>180</v>
      </c>
      <c r="E19" s="2">
        <f>IF(A!$G$5=1,F19,G19)</f>
        <v>0</v>
      </c>
      <c r="F19" s="2">
        <v>0</v>
      </c>
      <c r="G19" s="2">
        <v>0</v>
      </c>
      <c r="I19" t="s">
        <v>191</v>
      </c>
      <c r="J19">
        <f aca="true" t="shared" si="0" ref="J19:O19">SUM(J15:J18)</f>
        <v>0.5593137299999994</v>
      </c>
      <c r="K19">
        <f t="shared" si="0"/>
        <v>0.4920680799999997</v>
      </c>
      <c r="L19" s="18">
        <f t="shared" si="0"/>
        <v>0.5593137299999994</v>
      </c>
      <c r="M19">
        <f t="shared" si="0"/>
        <v>0.4920680799999997</v>
      </c>
      <c r="N19" s="18">
        <f t="shared" si="0"/>
        <v>0.5593137299999994</v>
      </c>
      <c r="O19">
        <f t="shared" si="0"/>
        <v>0.4920680799999997</v>
      </c>
      <c r="S19" s="5"/>
      <c r="T19" s="5"/>
    </row>
    <row r="20" spans="1:14" ht="15.75">
      <c r="A20" t="s">
        <v>95</v>
      </c>
      <c r="B20" t="s">
        <v>190</v>
      </c>
      <c r="C20" t="s">
        <v>179</v>
      </c>
      <c r="D20" t="s">
        <v>181</v>
      </c>
      <c r="E20" s="2">
        <f>IF(A!$G$5=1,F20,G20)</f>
        <v>0.004767</v>
      </c>
      <c r="F20" s="2">
        <v>0.006668</v>
      </c>
      <c r="G20" s="2">
        <v>0.004767</v>
      </c>
      <c r="L20" s="18"/>
      <c r="N20" s="18"/>
    </row>
    <row r="21" spans="1:15" ht="15.75">
      <c r="A21" t="s">
        <v>95</v>
      </c>
      <c r="B21" t="s">
        <v>190</v>
      </c>
      <c r="C21" t="s">
        <v>179</v>
      </c>
      <c r="D21" t="s">
        <v>182</v>
      </c>
      <c r="E21" s="2">
        <f>IF(A!$G$5=1,F21,G21)</f>
        <v>0.011859</v>
      </c>
      <c r="F21" s="2">
        <v>-0.018000000000000002</v>
      </c>
      <c r="G21" s="2">
        <v>0.011859</v>
      </c>
      <c r="I21" t="s">
        <v>192</v>
      </c>
      <c r="J21" s="9">
        <f>($E$22*J$8+$E$23*J$10+$E$24)/100*J$9*J$15</f>
        <v>0.0009606025698554161</v>
      </c>
      <c r="K21" s="9">
        <f>($E$47*K$8+$E$48*K$10+$E$49)/100*K$9*K$15</f>
        <v>0.000924673623832918</v>
      </c>
      <c r="L21" s="38">
        <f>($E$22*L$8+$E$23*L$10+$E$24)/100*L$9*L$15</f>
        <v>0.0005703104473664049</v>
      </c>
      <c r="M21" s="9">
        <f>($E$47*M$8+$E$48*M$10+$E$49)/100*M$9*M$15</f>
        <v>0.0005489794058696301</v>
      </c>
      <c r="N21" s="38">
        <f>($E$22*N$8+$E$23*N$10+$E$24)/100*N$9*N$15</f>
        <v>0.0009606025698554161</v>
      </c>
      <c r="O21" s="9">
        <f>($E$47*O$8+$E$48*O$10+$E$49)/100*O$9*O$15</f>
        <v>0.000924673623832918</v>
      </c>
    </row>
    <row r="22" spans="1:15" ht="15.75">
      <c r="A22" t="s">
        <v>95</v>
      </c>
      <c r="B22" t="s">
        <v>178</v>
      </c>
      <c r="C22" t="s">
        <v>193</v>
      </c>
      <c r="D22" t="s">
        <v>194</v>
      </c>
      <c r="E22" s="2">
        <f>IF(A!$G$5=1,F22,G22)</f>
        <v>-0.0342</v>
      </c>
      <c r="F22" s="2">
        <v>-0.0342</v>
      </c>
      <c r="G22" s="2">
        <v>-0.0342</v>
      </c>
      <c r="I22" t="s">
        <v>195</v>
      </c>
      <c r="J22" s="9">
        <f>($E$25*J$8+$E$26*J$10+$E$27)/100*J$9*J$16</f>
        <v>0.000967443627560932</v>
      </c>
      <c r="K22" s="9">
        <f>($E$50*K$8+$E$51*K$10+$E$52)/100*K$9*K$16</f>
        <v>0.0006593676574111609</v>
      </c>
      <c r="L22" s="38">
        <f>($E$25*L$8+$E$26*L$10+$E$27)/100*L$9*L$16</f>
        <v>0.0005782708846769137</v>
      </c>
      <c r="M22" s="9">
        <f>($E$50*M$8+$E$51*M$10+$E$52)/100*M$9*M$16</f>
        <v>0.0003941243786367091</v>
      </c>
      <c r="N22" s="38">
        <f>($E$25*N$8+$E$26*N$10+$E$27)/100*N$9*N$16</f>
        <v>0.000967443627560932</v>
      </c>
      <c r="O22" s="9">
        <f>($E$50*O$8+$E$51*O$10+$E$52)/100*O$9*O$16</f>
        <v>0.0006593676574111609</v>
      </c>
    </row>
    <row r="23" spans="1:15" ht="15.75">
      <c r="A23" t="s">
        <v>95</v>
      </c>
      <c r="B23" t="s">
        <v>178</v>
      </c>
      <c r="C23" t="s">
        <v>193</v>
      </c>
      <c r="D23" t="s">
        <v>181</v>
      </c>
      <c r="E23" s="2">
        <f>IF(A!$G$5=1,F23,G23)</f>
        <v>-0.080274</v>
      </c>
      <c r="F23" s="2">
        <v>-0.080274</v>
      </c>
      <c r="G23" s="2">
        <v>-0.080274</v>
      </c>
      <c r="I23" t="s">
        <v>196</v>
      </c>
      <c r="J23" s="9">
        <f>($E$28*J$8+$E$29*J$10+$E$30)/100*J$9*J$17</f>
        <v>0.003751809732593068</v>
      </c>
      <c r="K23" s="9">
        <f>($E$53*K$8+$E$54*K$10+$E$55)/100*K$9*K$17</f>
        <v>0.0033592379221535334</v>
      </c>
      <c r="L23" s="38">
        <f>($E$28*L$8+$E$29*L$10+$E$30)/100*L$9*L$17</f>
        <v>0.0022274521786370383</v>
      </c>
      <c r="M23" s="9">
        <f>($E$53*M$8+$E$54*M$10+$E$55)/100*M$9*M$17</f>
        <v>0.0019943820080368193</v>
      </c>
      <c r="N23" s="38">
        <f>($E$28*N$8+$E$29*N$10+$E$30)/100*N$9*N$17</f>
        <v>0.003751809732593068</v>
      </c>
      <c r="O23" s="9">
        <f>($E$53*O$8+$E$54*O$10+$E$55)/100*O$9*O$17</f>
        <v>0.0033592379221535334</v>
      </c>
    </row>
    <row r="24" spans="1:15" ht="15.75">
      <c r="A24" t="s">
        <v>95</v>
      </c>
      <c r="B24" t="s">
        <v>178</v>
      </c>
      <c r="C24" t="s">
        <v>193</v>
      </c>
      <c r="D24" t="s">
        <v>182</v>
      </c>
      <c r="E24" s="2">
        <f>IF(A!$G$5=1,F24,G24)</f>
        <v>1.4448</v>
      </c>
      <c r="F24" s="2">
        <v>1.4448</v>
      </c>
      <c r="G24" s="2">
        <v>1.4448</v>
      </c>
      <c r="I24" t="s">
        <v>197</v>
      </c>
      <c r="J24" s="9">
        <f>($E$31*J$8+$E$32*J$10+$E$33)/100*J$9*J$18</f>
        <v>0.0005614656158060372</v>
      </c>
      <c r="K24" s="9">
        <f>($E$56*K$8+$E$57*K$10+$E$58)/100*K$9*K$18</f>
        <v>0.0005614656158060372</v>
      </c>
      <c r="L24" s="38">
        <f>($E$31*L$8+$E$32*L$10+$E$33)/100*L$9*L$18</f>
        <v>0.00033545183782290004</v>
      </c>
      <c r="M24" s="9">
        <f>($E$56*M$8+$E$57*M$10+$E$58)/100*M$9*M$18</f>
        <v>0.00033545183782290004</v>
      </c>
      <c r="N24" s="38">
        <f>($E$31*N$8+$E$32*N$10+$E$33)/100*N$9*N$18</f>
        <v>0.0005614656158060372</v>
      </c>
      <c r="O24" s="9">
        <f>($E$56*O$8+$E$57*O$10+$E$58)/100*O$9*O$18</f>
        <v>0.0005614656158060372</v>
      </c>
    </row>
    <row r="25" spans="1:15" ht="15.75">
      <c r="A25" t="s">
        <v>95</v>
      </c>
      <c r="B25" t="s">
        <v>183</v>
      </c>
      <c r="C25" t="s">
        <v>193</v>
      </c>
      <c r="D25" t="s">
        <v>194</v>
      </c>
      <c r="E25" s="2">
        <f>IF(A!$G$5=1,F25,G25)</f>
        <v>-0.02895</v>
      </c>
      <c r="F25" s="2">
        <v>-0.02895</v>
      </c>
      <c r="G25" s="2">
        <v>-0.02895</v>
      </c>
      <c r="I25" t="s">
        <v>198</v>
      </c>
      <c r="J25">
        <f aca="true" t="shared" si="1" ref="J25:O25">SUM(J21:J24)</f>
        <v>0.006241321545815453</v>
      </c>
      <c r="K25">
        <f t="shared" si="1"/>
        <v>0.005504744819203649</v>
      </c>
      <c r="L25" s="18">
        <f t="shared" si="1"/>
        <v>0.003711485348503257</v>
      </c>
      <c r="M25">
        <f t="shared" si="1"/>
        <v>0.003272937630366059</v>
      </c>
      <c r="N25" s="18">
        <f t="shared" si="1"/>
        <v>0.006241321545815453</v>
      </c>
      <c r="O25">
        <f t="shared" si="1"/>
        <v>0.005504744819203649</v>
      </c>
    </row>
    <row r="26" spans="1:7" ht="15.75">
      <c r="A26" t="s">
        <v>95</v>
      </c>
      <c r="B26" t="s">
        <v>183</v>
      </c>
      <c r="C26" t="s">
        <v>193</v>
      </c>
      <c r="D26" t="s">
        <v>181</v>
      </c>
      <c r="E26" s="2">
        <f>IF(A!$G$5=1,F26,G26)</f>
        <v>-0.080274</v>
      </c>
      <c r="F26" s="2">
        <v>-0.080274</v>
      </c>
      <c r="G26" s="2">
        <v>-0.080274</v>
      </c>
    </row>
    <row r="27" spans="1:7" ht="15.75">
      <c r="A27" t="s">
        <v>95</v>
      </c>
      <c r="B27" t="s">
        <v>183</v>
      </c>
      <c r="C27" t="s">
        <v>193</v>
      </c>
      <c r="D27" t="s">
        <v>182</v>
      </c>
      <c r="E27" s="2">
        <f>IF(A!$G$5=1,F27,G27)</f>
        <v>1.3758</v>
      </c>
      <c r="F27" s="2">
        <v>1.3758</v>
      </c>
      <c r="G27" s="2">
        <v>1.3758</v>
      </c>
    </row>
    <row r="28" spans="1:7" ht="15.75">
      <c r="A28" t="s">
        <v>95</v>
      </c>
      <c r="B28" t="s">
        <v>186</v>
      </c>
      <c r="C28" t="s">
        <v>193</v>
      </c>
      <c r="D28" t="s">
        <v>194</v>
      </c>
      <c r="E28" s="2">
        <f>IF(A!$G$5=1,F28,G28)</f>
        <v>-0.0342</v>
      </c>
      <c r="F28" s="2">
        <v>-0.0342</v>
      </c>
      <c r="G28" s="2">
        <v>-0.0342</v>
      </c>
    </row>
    <row r="29" spans="1:7" ht="15.75">
      <c r="A29" t="s">
        <v>95</v>
      </c>
      <c r="B29" t="s">
        <v>186</v>
      </c>
      <c r="C29" t="s">
        <v>193</v>
      </c>
      <c r="D29" t="s">
        <v>181</v>
      </c>
      <c r="E29" s="2">
        <f>IF(A!$G$5=1,F29,G29)</f>
        <v>-0.080274</v>
      </c>
      <c r="F29" s="2">
        <v>-0.080274</v>
      </c>
      <c r="G29" s="2">
        <v>-0.080274</v>
      </c>
    </row>
    <row r="30" spans="1:7" ht="15.75">
      <c r="A30" t="s">
        <v>95</v>
      </c>
      <c r="B30" t="s">
        <v>186</v>
      </c>
      <c r="C30" t="s">
        <v>193</v>
      </c>
      <c r="D30" t="s">
        <v>182</v>
      </c>
      <c r="E30" s="2">
        <f>IF(A!$G$5=1,F30,G30)</f>
        <v>1.4448</v>
      </c>
      <c r="F30" s="2">
        <v>1.4448</v>
      </c>
      <c r="G30" s="2">
        <v>1.4448</v>
      </c>
    </row>
    <row r="31" spans="1:13" ht="15.75">
      <c r="A31" t="s">
        <v>95</v>
      </c>
      <c r="B31" t="s">
        <v>190</v>
      </c>
      <c r="C31" t="s">
        <v>193</v>
      </c>
      <c r="D31" t="s">
        <v>194</v>
      </c>
      <c r="E31" s="2">
        <f>IF(A!$G$5=1,F31,G31)</f>
        <v>-0.02955</v>
      </c>
      <c r="F31" s="2">
        <v>-0.02955</v>
      </c>
      <c r="G31" s="2">
        <v>-0.02955</v>
      </c>
      <c r="L31" s="5"/>
      <c r="M31" s="5"/>
    </row>
    <row r="32" spans="1:13" ht="15.75">
      <c r="A32" t="s">
        <v>95</v>
      </c>
      <c r="B32" t="s">
        <v>190</v>
      </c>
      <c r="C32" t="s">
        <v>193</v>
      </c>
      <c r="D32" t="s">
        <v>181</v>
      </c>
      <c r="E32" s="2">
        <f>IF(A!$G$5=1,F32,G32)</f>
        <v>-0.081507</v>
      </c>
      <c r="F32" s="2">
        <v>-0.081507</v>
      </c>
      <c r="G32" s="2">
        <v>-0.081507</v>
      </c>
      <c r="L32" s="5"/>
      <c r="M32" s="5"/>
    </row>
    <row r="33" spans="1:7" ht="15.75">
      <c r="A33" t="s">
        <v>95</v>
      </c>
      <c r="B33" t="s">
        <v>190</v>
      </c>
      <c r="C33" t="s">
        <v>193</v>
      </c>
      <c r="D33" t="s">
        <v>182</v>
      </c>
      <c r="E33" s="2">
        <f>IF(A!$G$5=1,F33,G33)</f>
        <v>1.3972</v>
      </c>
      <c r="F33" s="2">
        <v>1.3972</v>
      </c>
      <c r="G33" s="2">
        <v>1.3972</v>
      </c>
    </row>
    <row r="34" ht="15.75">
      <c r="E34" s="2"/>
    </row>
    <row r="35" spans="1:7" ht="15.75">
      <c r="A35" t="s">
        <v>22</v>
      </c>
      <c r="B35" t="s">
        <v>178</v>
      </c>
      <c r="C35" t="s">
        <v>179</v>
      </c>
      <c r="D35" t="s">
        <v>180</v>
      </c>
      <c r="E35" s="2">
        <f>IF(A!$G$5=1,F35,G35)</f>
        <v>0.00607768</v>
      </c>
      <c r="F35" s="2">
        <v>0.014421281</v>
      </c>
      <c r="G35" s="2">
        <f>0.010853*0.56</f>
        <v>0.00607768</v>
      </c>
    </row>
    <row r="36" spans="1:7" ht="15.75">
      <c r="A36" t="s">
        <v>22</v>
      </c>
      <c r="B36" t="s">
        <v>178</v>
      </c>
      <c r="C36" t="s">
        <v>179</v>
      </c>
      <c r="D36" t="s">
        <v>181</v>
      </c>
      <c r="E36" s="2">
        <f>IF(A!$G$5=1,F36,G36)</f>
        <v>-0.0747376</v>
      </c>
      <c r="F36" s="2">
        <v>-0.1624847</v>
      </c>
      <c r="G36" s="2">
        <f>-0.13346*0.56</f>
        <v>-0.0747376</v>
      </c>
    </row>
    <row r="37" spans="1:13" ht="15.75">
      <c r="A37" t="s">
        <v>22</v>
      </c>
      <c r="B37" t="s">
        <v>178</v>
      </c>
      <c r="C37" t="s">
        <v>179</v>
      </c>
      <c r="D37" t="s">
        <v>182</v>
      </c>
      <c r="E37" s="2">
        <f>IF(A!$G$5=1,F37,G37)</f>
        <v>0.271166</v>
      </c>
      <c r="F37" s="2">
        <v>0.552027</v>
      </c>
      <c r="G37" s="2">
        <f>0.484225*0.56</f>
        <v>0.271166</v>
      </c>
      <c r="L37" s="5"/>
      <c r="M37" s="5"/>
    </row>
    <row r="38" spans="1:13" ht="15.75">
      <c r="A38" t="s">
        <v>22</v>
      </c>
      <c r="B38" t="s">
        <v>183</v>
      </c>
      <c r="C38" t="s">
        <v>179</v>
      </c>
      <c r="D38" t="s">
        <v>180</v>
      </c>
      <c r="E38" s="2">
        <f>IF(A!$G$5=1,F38,G38)</f>
        <v>0.0047753199999999996</v>
      </c>
      <c r="F38" s="2">
        <v>0.006817719</v>
      </c>
      <c r="G38" s="2">
        <f>0.010853*0.44</f>
        <v>0.0047753199999999996</v>
      </c>
      <c r="L38" s="5"/>
      <c r="M38" s="5"/>
    </row>
    <row r="39" spans="1:13" ht="15.75">
      <c r="A39" t="s">
        <v>22</v>
      </c>
      <c r="B39" t="s">
        <v>183</v>
      </c>
      <c r="C39" t="s">
        <v>179</v>
      </c>
      <c r="D39" t="s">
        <v>181</v>
      </c>
      <c r="E39" s="2">
        <f>IF(A!$G$5=1,F39,G39)</f>
        <v>-0.0587224</v>
      </c>
      <c r="F39" s="2">
        <v>-0.0768153</v>
      </c>
      <c r="G39" s="2">
        <f>-0.13346*0.44</f>
        <v>-0.0587224</v>
      </c>
      <c r="L39" s="5"/>
      <c r="M39" s="5"/>
    </row>
    <row r="40" spans="1:7" ht="15.75">
      <c r="A40" t="s">
        <v>22</v>
      </c>
      <c r="B40" t="s">
        <v>183</v>
      </c>
      <c r="C40" t="s">
        <v>179</v>
      </c>
      <c r="D40" t="s">
        <v>182</v>
      </c>
      <c r="E40" s="2">
        <f>IF(A!$G$5=1,F40,G40)</f>
        <v>0.213059</v>
      </c>
      <c r="F40" s="2">
        <v>0.260973</v>
      </c>
      <c r="G40" s="2">
        <f>0.484225*0.44</f>
        <v>0.213059</v>
      </c>
    </row>
    <row r="41" spans="1:7" ht="15.75">
      <c r="A41" t="s">
        <v>22</v>
      </c>
      <c r="B41" t="s">
        <v>186</v>
      </c>
      <c r="C41" t="s">
        <v>179</v>
      </c>
      <c r="D41" t="s">
        <v>180</v>
      </c>
      <c r="E41" s="2">
        <f>IF(A!$G$5=1,F41,G41)</f>
        <v>0.016169</v>
      </c>
      <c r="F41" s="2">
        <v>0.016255</v>
      </c>
      <c r="G41" s="2">
        <v>0.016169</v>
      </c>
    </row>
    <row r="42" spans="1:7" ht="15.75">
      <c r="A42" t="s">
        <v>22</v>
      </c>
      <c r="B42" t="s">
        <v>186</v>
      </c>
      <c r="C42" t="s">
        <v>179</v>
      </c>
      <c r="D42" t="s">
        <v>181</v>
      </c>
      <c r="E42" s="2">
        <f>IF(A!$G$5=1,F42,G42)</f>
        <v>-0.17206</v>
      </c>
      <c r="F42" s="2">
        <v>-0.1306</v>
      </c>
      <c r="G42" s="2">
        <v>-0.17206</v>
      </c>
    </row>
    <row r="43" spans="1:7" ht="15.75">
      <c r="A43" t="s">
        <v>22</v>
      </c>
      <c r="B43" t="s">
        <v>186</v>
      </c>
      <c r="C43" t="s">
        <v>179</v>
      </c>
      <c r="D43" t="s">
        <v>182</v>
      </c>
      <c r="E43" s="2">
        <f>IF(A!$G$5=1,F43,G43)</f>
        <v>0.56724</v>
      </c>
      <c r="F43" s="2">
        <v>0.2963</v>
      </c>
      <c r="G43" s="2">
        <v>0.56724</v>
      </c>
    </row>
    <row r="44" spans="1:7" ht="15.75">
      <c r="A44" t="s">
        <v>22</v>
      </c>
      <c r="B44" t="s">
        <v>190</v>
      </c>
      <c r="C44" t="s">
        <v>179</v>
      </c>
      <c r="D44" t="s">
        <v>180</v>
      </c>
      <c r="E44" s="2">
        <f>IF(A!$G$5=1,F44,G44)</f>
        <v>0</v>
      </c>
      <c r="F44" s="2">
        <v>0</v>
      </c>
      <c r="G44" s="2">
        <v>0</v>
      </c>
    </row>
    <row r="45" spans="1:7" ht="15.75">
      <c r="A45" t="s">
        <v>22</v>
      </c>
      <c r="B45" t="s">
        <v>190</v>
      </c>
      <c r="C45" t="s">
        <v>179</v>
      </c>
      <c r="D45" t="s">
        <v>181</v>
      </c>
      <c r="E45" s="2">
        <f>IF(A!$G$5=1,F45,G45)</f>
        <v>0.004767</v>
      </c>
      <c r="F45" s="2">
        <v>0.006668</v>
      </c>
      <c r="G45" s="2">
        <v>0.004767</v>
      </c>
    </row>
    <row r="46" spans="1:7" ht="15.75">
      <c r="A46" t="s">
        <v>22</v>
      </c>
      <c r="B46" t="s">
        <v>190</v>
      </c>
      <c r="C46" t="s">
        <v>179</v>
      </c>
      <c r="D46" t="s">
        <v>182</v>
      </c>
      <c r="E46" s="2">
        <f>IF(A!$G$5=1,F46,G46)</f>
        <v>0.011859</v>
      </c>
      <c r="F46" s="2">
        <v>-0.018000000000000002</v>
      </c>
      <c r="G46" s="2">
        <v>0.011859</v>
      </c>
    </row>
    <row r="47" spans="1:7" ht="15.75">
      <c r="A47" t="s">
        <v>22</v>
      </c>
      <c r="B47" t="s">
        <v>178</v>
      </c>
      <c r="C47" t="s">
        <v>193</v>
      </c>
      <c r="D47" t="s">
        <v>194</v>
      </c>
      <c r="E47" s="2">
        <f>IF(A!$G$5=1,F47,G47)</f>
        <v>-0.0342</v>
      </c>
      <c r="F47" s="2">
        <v>-0.0342</v>
      </c>
      <c r="G47" s="2">
        <v>-0.0342</v>
      </c>
    </row>
    <row r="48" spans="1:7" ht="15.75">
      <c r="A48" t="s">
        <v>22</v>
      </c>
      <c r="B48" t="s">
        <v>178</v>
      </c>
      <c r="C48" t="s">
        <v>193</v>
      </c>
      <c r="D48" t="s">
        <v>181</v>
      </c>
      <c r="E48" s="2">
        <f>IF(A!$G$5=1,F48,G48)</f>
        <v>-0.080274</v>
      </c>
      <c r="F48" s="2">
        <v>-0.080274</v>
      </c>
      <c r="G48" s="2">
        <v>-0.080274</v>
      </c>
    </row>
    <row r="49" spans="1:7" ht="15.75">
      <c r="A49" t="s">
        <v>22</v>
      </c>
      <c r="B49" t="s">
        <v>178</v>
      </c>
      <c r="C49" t="s">
        <v>193</v>
      </c>
      <c r="D49" t="s">
        <v>182</v>
      </c>
      <c r="E49" s="2">
        <f>IF(A!$G$5=1,F49,G49)</f>
        <v>1.4448</v>
      </c>
      <c r="F49" s="2">
        <v>1.4448</v>
      </c>
      <c r="G49" s="2">
        <v>1.4448</v>
      </c>
    </row>
    <row r="50" spans="1:7" ht="15.75">
      <c r="A50" t="s">
        <v>22</v>
      </c>
      <c r="B50" t="s">
        <v>183</v>
      </c>
      <c r="C50" t="s">
        <v>193</v>
      </c>
      <c r="D50" t="s">
        <v>194</v>
      </c>
      <c r="E50" s="2">
        <f>IF(A!$G$5=1,F50,G50)</f>
        <v>-0.02895</v>
      </c>
      <c r="F50" s="2">
        <v>-0.02895</v>
      </c>
      <c r="G50" s="2">
        <v>-0.02895</v>
      </c>
    </row>
    <row r="51" spans="1:7" ht="15.75">
      <c r="A51" t="s">
        <v>22</v>
      </c>
      <c r="B51" t="s">
        <v>183</v>
      </c>
      <c r="C51" t="s">
        <v>193</v>
      </c>
      <c r="D51" t="s">
        <v>181</v>
      </c>
      <c r="E51" s="2">
        <f>IF(A!$G$5=1,F51,G51)</f>
        <v>-0.080274</v>
      </c>
      <c r="F51" s="2">
        <v>-0.080274</v>
      </c>
      <c r="G51" s="2">
        <v>-0.080274</v>
      </c>
    </row>
    <row r="52" spans="1:7" ht="15.75">
      <c r="A52" t="s">
        <v>22</v>
      </c>
      <c r="B52" t="s">
        <v>183</v>
      </c>
      <c r="C52" t="s">
        <v>193</v>
      </c>
      <c r="D52" t="s">
        <v>182</v>
      </c>
      <c r="E52" s="2">
        <f>IF(A!$G$5=1,F52,G52)</f>
        <v>1.3758</v>
      </c>
      <c r="F52" s="2">
        <v>1.3758</v>
      </c>
      <c r="G52" s="2">
        <v>1.3758</v>
      </c>
    </row>
    <row r="53" spans="1:7" ht="15.75">
      <c r="A53" t="s">
        <v>22</v>
      </c>
      <c r="B53" t="s">
        <v>186</v>
      </c>
      <c r="C53" t="s">
        <v>193</v>
      </c>
      <c r="D53" t="s">
        <v>194</v>
      </c>
      <c r="E53" s="2">
        <f>IF(A!$G$5=1,F53,G53)</f>
        <v>-0.0342</v>
      </c>
      <c r="F53" s="2">
        <v>-0.0342</v>
      </c>
      <c r="G53" s="2">
        <v>-0.0342</v>
      </c>
    </row>
    <row r="54" spans="1:7" ht="15.75">
      <c r="A54" t="s">
        <v>22</v>
      </c>
      <c r="B54" t="s">
        <v>186</v>
      </c>
      <c r="C54" t="s">
        <v>193</v>
      </c>
      <c r="D54" t="s">
        <v>181</v>
      </c>
      <c r="E54" s="2">
        <f>IF(A!$G$5=1,F54,G54)</f>
        <v>-0.080274</v>
      </c>
      <c r="F54" s="2">
        <v>-0.080274</v>
      </c>
      <c r="G54" s="2">
        <v>-0.080274</v>
      </c>
    </row>
    <row r="55" spans="1:7" ht="15.75">
      <c r="A55" t="s">
        <v>22</v>
      </c>
      <c r="B55" t="s">
        <v>186</v>
      </c>
      <c r="C55" t="s">
        <v>193</v>
      </c>
      <c r="D55" t="s">
        <v>182</v>
      </c>
      <c r="E55" s="2">
        <f>IF(A!$G$5=1,F55,G55)</f>
        <v>1.4448</v>
      </c>
      <c r="F55" s="2">
        <v>1.4448</v>
      </c>
      <c r="G55" s="2">
        <v>1.4448</v>
      </c>
    </row>
    <row r="56" spans="1:7" ht="15.75">
      <c r="A56" t="s">
        <v>22</v>
      </c>
      <c r="B56" t="s">
        <v>190</v>
      </c>
      <c r="C56" t="s">
        <v>193</v>
      </c>
      <c r="D56" t="s">
        <v>194</v>
      </c>
      <c r="E56" s="2">
        <f>IF(A!$G$5=1,F56,G56)</f>
        <v>-0.02955</v>
      </c>
      <c r="F56" s="2">
        <v>-0.02955</v>
      </c>
      <c r="G56" s="2">
        <v>-0.02955</v>
      </c>
    </row>
    <row r="57" spans="1:7" ht="15.75">
      <c r="A57" t="s">
        <v>22</v>
      </c>
      <c r="B57" t="s">
        <v>190</v>
      </c>
      <c r="C57" t="s">
        <v>193</v>
      </c>
      <c r="D57" t="s">
        <v>181</v>
      </c>
      <c r="E57" s="2">
        <f>IF(A!$G$5=1,F57,G57)</f>
        <v>-0.081507</v>
      </c>
      <c r="F57" s="2">
        <v>-0.081507</v>
      </c>
      <c r="G57" s="2">
        <v>-0.081507</v>
      </c>
    </row>
    <row r="58" spans="1:7" ht="15.75">
      <c r="A58" t="s">
        <v>22</v>
      </c>
      <c r="B58" t="s">
        <v>190</v>
      </c>
      <c r="C58" t="s">
        <v>193</v>
      </c>
      <c r="D58" t="s">
        <v>182</v>
      </c>
      <c r="E58" s="2">
        <f>IF(A!$G$5=1,F58,G58)</f>
        <v>1.3972</v>
      </c>
      <c r="F58" s="2">
        <v>1.3972</v>
      </c>
      <c r="G58" s="2">
        <v>1.3972</v>
      </c>
    </row>
  </sheetData>
  <sheetProtection/>
  <printOptions/>
  <pageMargins left="0.5" right="0.5" top="0.5" bottom="0.55" header="0.5" footer="0.5"/>
  <pageSetup horizontalDpi="600" verticalDpi="600" orientation="portrait" scale="83" r:id="rId1"/>
  <headerFooter alignWithMargins="0">
    <oddFooter>&amp;L^&amp;D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Wilson</dc:creator>
  <cp:keywords/>
  <dc:description/>
  <cp:lastModifiedBy>mwilson</cp:lastModifiedBy>
  <dcterms:created xsi:type="dcterms:W3CDTF">2006-05-31T14:57:43Z</dcterms:created>
  <dcterms:modified xsi:type="dcterms:W3CDTF">2017-06-26T15:41:09Z</dcterms:modified>
  <cp:category/>
  <cp:version/>
  <cp:contentType/>
  <cp:contentStatus/>
</cp:coreProperties>
</file>